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827"/>
  <workbookPr/>
  <mc:AlternateContent xmlns:mc="http://schemas.openxmlformats.org/markup-compatibility/2006">
    <mc:Choice Requires="x15">
      <x15ac:absPath xmlns:x15ac="http://schemas.microsoft.com/office/spreadsheetml/2010/11/ac" url="D:\15 POSĖDIS registravimui\SP\TS\"/>
    </mc:Choice>
  </mc:AlternateContent>
  <xr:revisionPtr revIDLastSave="0" documentId="13_ncr:1_{E60CD0BB-BDE0-4844-A792-A052ED4A29BC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 pr" sheetId="1" r:id="rId1"/>
    <sheet name="2 pr" sheetId="2" r:id="rId2"/>
    <sheet name="3 pr" sheetId="3" r:id="rId3"/>
    <sheet name="4 pr" sheetId="4" r:id="rId4"/>
    <sheet name="5 pr" sheetId="5" r:id="rId5"/>
    <sheet name="6 pr" sheetId="6" r:id="rId6"/>
    <sheet name="7 pr" sheetId="7" r:id="rId7"/>
    <sheet name="8 pr" sheetId="8" r:id="rId8"/>
    <sheet name="9 pr" sheetId="9" r:id="rId9"/>
  </sheets>
  <definedNames>
    <definedName name="_xlnm.Print_Area" localSheetId="0">'1 pr'!$A$1:$X$322</definedName>
    <definedName name="_xlnm.Print_Area" localSheetId="4">'5 pr'!$A$1:$W$74</definedName>
    <definedName name="_xlnm.Print_Titles" localSheetId="0">'1 pr'!$12:$12</definedName>
    <definedName name="_xlnm.Print_Titles" localSheetId="1">'2 pr'!$11:$11</definedName>
    <definedName name="_xlnm.Print_Titles" localSheetId="2">'3 pr'!$13:$13</definedName>
    <definedName name="_xlnm.Print_Titles" localSheetId="3">'4 pr'!$12:$12</definedName>
    <definedName name="_xlnm.Print_Titles" localSheetId="4">'5 pr'!$12:$12</definedName>
    <definedName name="_xlnm.Print_Titles" localSheetId="5">'6 pr'!$13:$13</definedName>
    <definedName name="_xlnm.Print_Titles" localSheetId="6">'7 pr'!$12:$12</definedName>
    <definedName name="_xlnm.Print_Titles" localSheetId="7">'8 pr'!$11:$11</definedName>
    <definedName name="_xlnm.Print_Titles" localSheetId="8">'9 pr'!$11:$11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01" i="1" l="1"/>
  <c r="J199" i="1"/>
  <c r="J163" i="1"/>
  <c r="J53" i="1"/>
  <c r="M78" i="6"/>
  <c r="N78" i="6"/>
  <c r="O78" i="6"/>
  <c r="Q78" i="6"/>
  <c r="R78" i="6"/>
  <c r="S78" i="6"/>
  <c r="T78" i="6"/>
  <c r="U78" i="6"/>
  <c r="E59" i="9" l="1"/>
  <c r="L48" i="9"/>
  <c r="F48" i="9"/>
  <c r="E48" i="9"/>
  <c r="L47" i="9"/>
  <c r="K47" i="9"/>
  <c r="G47" i="9"/>
  <c r="E47" i="9" s="1"/>
  <c r="F47" i="9"/>
  <c r="L46" i="9"/>
  <c r="F46" i="9"/>
  <c r="E46" i="9"/>
  <c r="L45" i="9"/>
  <c r="F45" i="9"/>
  <c r="E45" i="9"/>
  <c r="L44" i="9"/>
  <c r="F44" i="9"/>
  <c r="E44" i="9"/>
  <c r="L43" i="9"/>
  <c r="K43" i="9"/>
  <c r="E43" i="9" s="1"/>
  <c r="F43" i="9"/>
  <c r="L42" i="9"/>
  <c r="K42" i="9"/>
  <c r="E42" i="9" s="1"/>
  <c r="F42" i="9"/>
  <c r="O41" i="9"/>
  <c r="L41" i="9" s="1"/>
  <c r="L39" i="9" s="1"/>
  <c r="L38" i="9" s="1"/>
  <c r="K41" i="9"/>
  <c r="G41" i="9"/>
  <c r="F41" i="9"/>
  <c r="P40" i="9"/>
  <c r="F40" i="9" s="1"/>
  <c r="L40" i="9"/>
  <c r="E40" i="9"/>
  <c r="N39" i="9"/>
  <c r="N38" i="9" s="1"/>
  <c r="M39" i="9"/>
  <c r="M38" i="9" s="1"/>
  <c r="I39" i="9"/>
  <c r="H39" i="9"/>
  <c r="G39" i="9"/>
  <c r="G38" i="9" s="1"/>
  <c r="J38" i="9"/>
  <c r="I38" i="9"/>
  <c r="L37" i="9"/>
  <c r="F37" i="9"/>
  <c r="E37" i="9"/>
  <c r="L36" i="9"/>
  <c r="K36" i="9"/>
  <c r="G36" i="9"/>
  <c r="F36" i="9"/>
  <c r="P35" i="9"/>
  <c r="L35" i="9"/>
  <c r="K35" i="9"/>
  <c r="H35" i="9"/>
  <c r="H32" i="9" s="1"/>
  <c r="H31" i="9" s="1"/>
  <c r="G35" i="9"/>
  <c r="L34" i="9"/>
  <c r="K34" i="9"/>
  <c r="G34" i="9"/>
  <c r="F34" i="9"/>
  <c r="P33" i="9"/>
  <c r="L33" i="9"/>
  <c r="K33" i="9"/>
  <c r="K32" i="9" s="1"/>
  <c r="K31" i="9" s="1"/>
  <c r="H33" i="9"/>
  <c r="G33" i="9"/>
  <c r="O32" i="9"/>
  <c r="N32" i="9"/>
  <c r="M32" i="9"/>
  <c r="J32" i="9"/>
  <c r="I32" i="9"/>
  <c r="G32" i="9"/>
  <c r="O31" i="9"/>
  <c r="N31" i="9"/>
  <c r="M31" i="9"/>
  <c r="J31" i="9"/>
  <c r="I31" i="9"/>
  <c r="G31" i="9"/>
  <c r="L30" i="9"/>
  <c r="L27" i="9" s="1"/>
  <c r="L26" i="9" s="1"/>
  <c r="F30" i="9"/>
  <c r="E30" i="9"/>
  <c r="L29" i="9"/>
  <c r="K29" i="9"/>
  <c r="G29" i="9"/>
  <c r="F29" i="9"/>
  <c r="L28" i="9"/>
  <c r="K28" i="9"/>
  <c r="K27" i="9" s="1"/>
  <c r="K26" i="9" s="1"/>
  <c r="G28" i="9"/>
  <c r="G27" i="9" s="1"/>
  <c r="E27" i="9" s="1"/>
  <c r="F28" i="9"/>
  <c r="P27" i="9"/>
  <c r="P26" i="9" s="1"/>
  <c r="O27" i="9"/>
  <c r="O26" i="9" s="1"/>
  <c r="N27" i="9"/>
  <c r="M27" i="9"/>
  <c r="M26" i="9" s="1"/>
  <c r="I27" i="9"/>
  <c r="I26" i="9" s="1"/>
  <c r="H27" i="9"/>
  <c r="H26" i="9" s="1"/>
  <c r="N26" i="9"/>
  <c r="J26" i="9"/>
  <c r="L25" i="9"/>
  <c r="L24" i="9" s="1"/>
  <c r="L23" i="9" s="1"/>
  <c r="F25" i="9"/>
  <c r="E25" i="9"/>
  <c r="P24" i="9"/>
  <c r="O24" i="9"/>
  <c r="O23" i="9" s="1"/>
  <c r="N24" i="9"/>
  <c r="N23" i="9" s="1"/>
  <c r="M24" i="9"/>
  <c r="K24" i="9"/>
  <c r="K23" i="9" s="1"/>
  <c r="I24" i="9"/>
  <c r="G24" i="9" s="1"/>
  <c r="E24" i="9" s="1"/>
  <c r="F24" i="9"/>
  <c r="P23" i="9"/>
  <c r="M23" i="9"/>
  <c r="J23" i="9"/>
  <c r="H23" i="9" s="1"/>
  <c r="F23" i="9" s="1"/>
  <c r="L22" i="9"/>
  <c r="F22" i="9"/>
  <c r="E22" i="9"/>
  <c r="L21" i="9"/>
  <c r="F21" i="9"/>
  <c r="E21" i="9"/>
  <c r="L20" i="9"/>
  <c r="K20" i="9"/>
  <c r="J20" i="9"/>
  <c r="J17" i="9" s="1"/>
  <c r="I20" i="9"/>
  <c r="H20" i="9"/>
  <c r="F20" i="9" s="1"/>
  <c r="G20" i="9"/>
  <c r="E20" i="9" s="1"/>
  <c r="L19" i="9"/>
  <c r="L18" i="9" s="1"/>
  <c r="L17" i="9" s="1"/>
  <c r="K19" i="9"/>
  <c r="E19" i="9" s="1"/>
  <c r="F19" i="9"/>
  <c r="P18" i="9"/>
  <c r="O18" i="9"/>
  <c r="O17" i="9" s="1"/>
  <c r="N18" i="9"/>
  <c r="N17" i="9" s="1"/>
  <c r="M18" i="9"/>
  <c r="K18" i="9"/>
  <c r="K17" i="9" s="1"/>
  <c r="I18" i="9"/>
  <c r="G18" i="9"/>
  <c r="F18" i="9"/>
  <c r="P17" i="9"/>
  <c r="M17" i="9"/>
  <c r="H17" i="9"/>
  <c r="O16" i="9"/>
  <c r="L16" i="9" s="1"/>
  <c r="K16" i="9"/>
  <c r="G16" i="9"/>
  <c r="G13" i="9" s="1"/>
  <c r="F16" i="9"/>
  <c r="L15" i="9"/>
  <c r="K15" i="9"/>
  <c r="E15" i="9" s="1"/>
  <c r="F15" i="9"/>
  <c r="L14" i="9"/>
  <c r="K14" i="9"/>
  <c r="E14" i="9" s="1"/>
  <c r="F14" i="9"/>
  <c r="P13" i="9"/>
  <c r="N13" i="9"/>
  <c r="N12" i="9" s="1"/>
  <c r="M13" i="9"/>
  <c r="I13" i="9"/>
  <c r="H13" i="9"/>
  <c r="H12" i="9" s="1"/>
  <c r="P12" i="9"/>
  <c r="M12" i="9"/>
  <c r="E49" i="8"/>
  <c r="E47" i="8"/>
  <c r="P43" i="8"/>
  <c r="L43" i="8"/>
  <c r="K43" i="8"/>
  <c r="E43" i="8" s="1"/>
  <c r="F43" i="8"/>
  <c r="P42" i="8"/>
  <c r="L42" i="8"/>
  <c r="F42" i="8"/>
  <c r="E42" i="8"/>
  <c r="P41" i="8"/>
  <c r="L41" i="8"/>
  <c r="K41" i="8"/>
  <c r="E41" i="8" s="1"/>
  <c r="F41" i="8"/>
  <c r="P40" i="8"/>
  <c r="L40" i="8"/>
  <c r="K40" i="8"/>
  <c r="F40" i="8"/>
  <c r="E40" i="8"/>
  <c r="P39" i="8"/>
  <c r="L39" i="8"/>
  <c r="K39" i="8"/>
  <c r="E39" i="8" s="1"/>
  <c r="F39" i="8"/>
  <c r="T38" i="8"/>
  <c r="S38" i="8"/>
  <c r="S37" i="8" s="1"/>
  <c r="R38" i="8"/>
  <c r="Q38" i="8"/>
  <c r="Q37" i="8" s="1"/>
  <c r="O38" i="8"/>
  <c r="O37" i="8" s="1"/>
  <c r="O29" i="8" s="1"/>
  <c r="N38" i="8"/>
  <c r="M38" i="8"/>
  <c r="K38" i="8"/>
  <c r="K37" i="8" s="1"/>
  <c r="J38" i="8"/>
  <c r="J37" i="8" s="1"/>
  <c r="I38" i="8"/>
  <c r="I37" i="8" s="1"/>
  <c r="H38" i="8"/>
  <c r="G38" i="8"/>
  <c r="E38" i="8" s="1"/>
  <c r="T37" i="8"/>
  <c r="R37" i="8"/>
  <c r="N37" i="8"/>
  <c r="M37" i="8"/>
  <c r="H37" i="8"/>
  <c r="P36" i="8"/>
  <c r="L36" i="8"/>
  <c r="G36" i="8"/>
  <c r="F36" i="8"/>
  <c r="E36" i="8"/>
  <c r="P35" i="8"/>
  <c r="L35" i="8"/>
  <c r="G35" i="8"/>
  <c r="G33" i="8" s="1"/>
  <c r="G32" i="8" s="1"/>
  <c r="F35" i="8"/>
  <c r="P34" i="8"/>
  <c r="L34" i="8"/>
  <c r="K34" i="8"/>
  <c r="E34" i="8" s="1"/>
  <c r="F34" i="8"/>
  <c r="T33" i="8"/>
  <c r="S33" i="8"/>
  <c r="S32" i="8" s="1"/>
  <c r="R33" i="8"/>
  <c r="R32" i="8" s="1"/>
  <c r="R29" i="8" s="1"/>
  <c r="Q33" i="8"/>
  <c r="Q32" i="8" s="1"/>
  <c r="O33" i="8"/>
  <c r="N33" i="8"/>
  <c r="N32" i="8" s="1"/>
  <c r="N29" i="8" s="1"/>
  <c r="M33" i="8"/>
  <c r="M32" i="8" s="1"/>
  <c r="J33" i="8"/>
  <c r="I33" i="8"/>
  <c r="H33" i="8"/>
  <c r="H32" i="8" s="1"/>
  <c r="T32" i="8"/>
  <c r="O32" i="8"/>
  <c r="J32" i="8"/>
  <c r="I32" i="8"/>
  <c r="P31" i="8"/>
  <c r="P30" i="8" s="1"/>
  <c r="L31" i="8"/>
  <c r="K31" i="8"/>
  <c r="K30" i="8" s="1"/>
  <c r="G31" i="8"/>
  <c r="F31" i="8"/>
  <c r="T30" i="8"/>
  <c r="T29" i="8" s="1"/>
  <c r="S30" i="8"/>
  <c r="R30" i="8"/>
  <c r="Q30" i="8"/>
  <c r="O30" i="8"/>
  <c r="N30" i="8"/>
  <c r="M30" i="8"/>
  <c r="L30" i="8"/>
  <c r="I30" i="8"/>
  <c r="H30" i="8"/>
  <c r="G30" i="8"/>
  <c r="E30" i="8" s="1"/>
  <c r="P28" i="8"/>
  <c r="L28" i="8"/>
  <c r="L27" i="8" s="1"/>
  <c r="L26" i="8" s="1"/>
  <c r="L25" i="8" s="1"/>
  <c r="F28" i="8"/>
  <c r="E28" i="8"/>
  <c r="T27" i="8"/>
  <c r="T26" i="8" s="1"/>
  <c r="S27" i="8"/>
  <c r="S26" i="8" s="1"/>
  <c r="S25" i="8" s="1"/>
  <c r="R27" i="8"/>
  <c r="Q27" i="8"/>
  <c r="Q26" i="8" s="1"/>
  <c r="Q25" i="8" s="1"/>
  <c r="P27" i="8"/>
  <c r="P26" i="8" s="1"/>
  <c r="P25" i="8" s="1"/>
  <c r="O27" i="8"/>
  <c r="O26" i="8" s="1"/>
  <c r="O25" i="8" s="1"/>
  <c r="N27" i="8"/>
  <c r="M27" i="8"/>
  <c r="M26" i="8" s="1"/>
  <c r="M25" i="8" s="1"/>
  <c r="K27" i="8"/>
  <c r="E27" i="8" s="1"/>
  <c r="I27" i="8"/>
  <c r="I26" i="8" s="1"/>
  <c r="I25" i="8" s="1"/>
  <c r="G27" i="8"/>
  <c r="R26" i="8"/>
  <c r="R25" i="8" s="1"/>
  <c r="N26" i="8"/>
  <c r="N25" i="8" s="1"/>
  <c r="G26" i="8"/>
  <c r="G25" i="8" s="1"/>
  <c r="J25" i="8"/>
  <c r="H25" i="8"/>
  <c r="P24" i="8"/>
  <c r="L24" i="8"/>
  <c r="F24" i="8"/>
  <c r="E24" i="8"/>
  <c r="F23" i="8"/>
  <c r="E23" i="8"/>
  <c r="T22" i="8"/>
  <c r="T21" i="8" s="1"/>
  <c r="S22" i="8"/>
  <c r="S21" i="8" s="1"/>
  <c r="R22" i="8"/>
  <c r="Q22" i="8"/>
  <c r="P22" i="8"/>
  <c r="P21" i="8" s="1"/>
  <c r="O22" i="8"/>
  <c r="O21" i="8" s="1"/>
  <c r="N22" i="8"/>
  <c r="M22" i="8"/>
  <c r="L22" i="8"/>
  <c r="L21" i="8" s="1"/>
  <c r="K22" i="8"/>
  <c r="K21" i="8" s="1"/>
  <c r="J22" i="8"/>
  <c r="I22" i="8"/>
  <c r="H22" i="8"/>
  <c r="F22" i="8" s="1"/>
  <c r="G22" i="8"/>
  <c r="E22" i="8" s="1"/>
  <c r="R21" i="8"/>
  <c r="Q21" i="8"/>
  <c r="N21" i="8"/>
  <c r="M21" i="8"/>
  <c r="J21" i="8"/>
  <c r="I21" i="8"/>
  <c r="P20" i="8"/>
  <c r="L20" i="8"/>
  <c r="F20" i="8" s="1"/>
  <c r="E20" i="8"/>
  <c r="P19" i="8"/>
  <c r="L19" i="8"/>
  <c r="K19" i="8"/>
  <c r="J19" i="8"/>
  <c r="I19" i="8"/>
  <c r="H19" i="8"/>
  <c r="F19" i="8" s="1"/>
  <c r="G19" i="8"/>
  <c r="E19" i="8" s="1"/>
  <c r="P18" i="8"/>
  <c r="L18" i="8"/>
  <c r="F18" i="8"/>
  <c r="E18" i="8"/>
  <c r="P17" i="8"/>
  <c r="P16" i="8" s="1"/>
  <c r="P15" i="8" s="1"/>
  <c r="L17" i="8"/>
  <c r="L16" i="8" s="1"/>
  <c r="L15" i="8" s="1"/>
  <c r="E17" i="8"/>
  <c r="T16" i="8"/>
  <c r="S16" i="8"/>
  <c r="S15" i="8" s="1"/>
  <c r="R16" i="8"/>
  <c r="R15" i="8" s="1"/>
  <c r="Q16" i="8"/>
  <c r="Q15" i="8" s="1"/>
  <c r="O16" i="8"/>
  <c r="O15" i="8" s="1"/>
  <c r="N16" i="8"/>
  <c r="N15" i="8" s="1"/>
  <c r="M16" i="8"/>
  <c r="M15" i="8" s="1"/>
  <c r="K16" i="8"/>
  <c r="K15" i="8" s="1"/>
  <c r="K12" i="8" s="1"/>
  <c r="I16" i="8"/>
  <c r="I15" i="8" s="1"/>
  <c r="G16" i="8"/>
  <c r="T15" i="8"/>
  <c r="T12" i="8" s="1"/>
  <c r="P14" i="8"/>
  <c r="L14" i="8"/>
  <c r="F14" i="8" s="1"/>
  <c r="I14" i="8"/>
  <c r="I13" i="8" s="1"/>
  <c r="E14" i="8"/>
  <c r="T13" i="8"/>
  <c r="S13" i="8"/>
  <c r="R13" i="8"/>
  <c r="Q13" i="8"/>
  <c r="P13" i="8"/>
  <c r="O13" i="8"/>
  <c r="N13" i="8"/>
  <c r="M13" i="8"/>
  <c r="K13" i="8"/>
  <c r="J13" i="8"/>
  <c r="H13" i="8"/>
  <c r="F13" i="8" s="1"/>
  <c r="G13" i="8"/>
  <c r="E13" i="8"/>
  <c r="E52" i="7"/>
  <c r="L48" i="7"/>
  <c r="I48" i="7"/>
  <c r="G48" i="7"/>
  <c r="E48" i="7" s="1"/>
  <c r="F48" i="7"/>
  <c r="L47" i="7"/>
  <c r="I47" i="7"/>
  <c r="G47" i="7"/>
  <c r="E47" i="7" s="1"/>
  <c r="F47" i="7"/>
  <c r="L46" i="7"/>
  <c r="I46" i="7"/>
  <c r="G46" i="7"/>
  <c r="E46" i="7" s="1"/>
  <c r="F46" i="7"/>
  <c r="L45" i="7"/>
  <c r="I45" i="7"/>
  <c r="G45" i="7"/>
  <c r="E45" i="7" s="1"/>
  <c r="F45" i="7"/>
  <c r="L44" i="7"/>
  <c r="I44" i="7"/>
  <c r="G44" i="7"/>
  <c r="E44" i="7" s="1"/>
  <c r="F44" i="7"/>
  <c r="L43" i="7"/>
  <c r="I43" i="7"/>
  <c r="G43" i="7"/>
  <c r="E43" i="7" s="1"/>
  <c r="F43" i="7"/>
  <c r="L42" i="7"/>
  <c r="K42" i="7"/>
  <c r="F42" i="7"/>
  <c r="L41" i="7"/>
  <c r="I41" i="7"/>
  <c r="G41" i="7"/>
  <c r="E41" i="7" s="1"/>
  <c r="F41" i="7"/>
  <c r="L40" i="7"/>
  <c r="I40" i="7"/>
  <c r="G40" i="7"/>
  <c r="E40" i="7" s="1"/>
  <c r="F40" i="7"/>
  <c r="L39" i="7"/>
  <c r="I39" i="7"/>
  <c r="G39" i="7"/>
  <c r="E39" i="7" s="1"/>
  <c r="F39" i="7"/>
  <c r="L38" i="7"/>
  <c r="I38" i="7"/>
  <c r="G38" i="7"/>
  <c r="E38" i="7" s="1"/>
  <c r="F38" i="7"/>
  <c r="L37" i="7"/>
  <c r="I37" i="7"/>
  <c r="G37" i="7"/>
  <c r="E37" i="7" s="1"/>
  <c r="F37" i="7"/>
  <c r="L36" i="7"/>
  <c r="I36" i="7"/>
  <c r="G36" i="7"/>
  <c r="E36" i="7" s="1"/>
  <c r="F36" i="7"/>
  <c r="L35" i="7"/>
  <c r="I35" i="7"/>
  <c r="G35" i="7"/>
  <c r="F35" i="7"/>
  <c r="E35" i="7"/>
  <c r="L34" i="7"/>
  <c r="I34" i="7"/>
  <c r="G34" i="7"/>
  <c r="E34" i="7" s="1"/>
  <c r="F34" i="7"/>
  <c r="L33" i="7"/>
  <c r="I33" i="7"/>
  <c r="G33" i="7"/>
  <c r="E33" i="7" s="1"/>
  <c r="F33" i="7"/>
  <c r="L32" i="7"/>
  <c r="I32" i="7"/>
  <c r="G32" i="7"/>
  <c r="E32" i="7" s="1"/>
  <c r="F32" i="7"/>
  <c r="L31" i="7"/>
  <c r="I31" i="7"/>
  <c r="G31" i="7"/>
  <c r="E31" i="7" s="1"/>
  <c r="F31" i="7"/>
  <c r="L30" i="7"/>
  <c r="I30" i="7"/>
  <c r="G30" i="7"/>
  <c r="F30" i="7"/>
  <c r="E30" i="7"/>
  <c r="L29" i="7"/>
  <c r="I29" i="7"/>
  <c r="G29" i="7"/>
  <c r="E29" i="7" s="1"/>
  <c r="F29" i="7"/>
  <c r="L28" i="7"/>
  <c r="I28" i="7"/>
  <c r="G28" i="7"/>
  <c r="E28" i="7" s="1"/>
  <c r="F28" i="7"/>
  <c r="L27" i="7"/>
  <c r="I27" i="7"/>
  <c r="G27" i="7"/>
  <c r="E27" i="7" s="1"/>
  <c r="F27" i="7"/>
  <c r="L26" i="7"/>
  <c r="I26" i="7"/>
  <c r="G26" i="7"/>
  <c r="E26" i="7" s="1"/>
  <c r="F26" i="7"/>
  <c r="L25" i="7"/>
  <c r="I25" i="7"/>
  <c r="G25" i="7"/>
  <c r="E25" i="7" s="1"/>
  <c r="F25" i="7"/>
  <c r="L24" i="7"/>
  <c r="I24" i="7"/>
  <c r="G24" i="7"/>
  <c r="E24" i="7" s="1"/>
  <c r="F24" i="7"/>
  <c r="L23" i="7"/>
  <c r="I23" i="7"/>
  <c r="G23" i="7"/>
  <c r="E23" i="7" s="1"/>
  <c r="F23" i="7"/>
  <c r="L22" i="7"/>
  <c r="I22" i="7"/>
  <c r="G22" i="7"/>
  <c r="E22" i="7" s="1"/>
  <c r="F22" i="7"/>
  <c r="L21" i="7"/>
  <c r="I21" i="7"/>
  <c r="G21" i="7"/>
  <c r="E21" i="7" s="1"/>
  <c r="F21" i="7"/>
  <c r="L20" i="7"/>
  <c r="I20" i="7"/>
  <c r="G20" i="7"/>
  <c r="E20" i="7" s="1"/>
  <c r="F20" i="7"/>
  <c r="L19" i="7"/>
  <c r="I19" i="7"/>
  <c r="G19" i="7"/>
  <c r="F19" i="7"/>
  <c r="E19" i="7"/>
  <c r="L18" i="7"/>
  <c r="I18" i="7"/>
  <c r="G18" i="7"/>
  <c r="E18" i="7" s="1"/>
  <c r="F18" i="7"/>
  <c r="L17" i="7"/>
  <c r="I17" i="7"/>
  <c r="G17" i="7"/>
  <c r="E17" i="7" s="1"/>
  <c r="F17" i="7"/>
  <c r="L16" i="7"/>
  <c r="I16" i="7"/>
  <c r="G16" i="7"/>
  <c r="E16" i="7" s="1"/>
  <c r="F16" i="7"/>
  <c r="L15" i="7"/>
  <c r="F15" i="7" s="1"/>
  <c r="I15" i="7"/>
  <c r="G15" i="7"/>
  <c r="E15" i="7" s="1"/>
  <c r="P14" i="7"/>
  <c r="P13" i="7" s="1"/>
  <c r="P49" i="7" s="1"/>
  <c r="O14" i="7"/>
  <c r="O13" i="7" s="1"/>
  <c r="O49" i="7" s="1"/>
  <c r="N14" i="7"/>
  <c r="M14" i="7"/>
  <c r="M13" i="7" s="1"/>
  <c r="M49" i="7" s="1"/>
  <c r="K14" i="7"/>
  <c r="J14" i="7"/>
  <c r="J13" i="7" s="1"/>
  <c r="J49" i="7" s="1"/>
  <c r="H14" i="7"/>
  <c r="N13" i="7"/>
  <c r="N49" i="7" s="1"/>
  <c r="K13" i="7"/>
  <c r="K49" i="7" s="1"/>
  <c r="K53" i="7" s="1"/>
  <c r="E122" i="6"/>
  <c r="E119" i="6"/>
  <c r="P115" i="6"/>
  <c r="L115" i="6"/>
  <c r="E115" i="6"/>
  <c r="E114" i="6" s="1"/>
  <c r="P114" i="6"/>
  <c r="L114" i="6"/>
  <c r="I114" i="6"/>
  <c r="G114" i="6"/>
  <c r="P113" i="6"/>
  <c r="L113" i="6"/>
  <c r="E113" i="6"/>
  <c r="P112" i="6"/>
  <c r="L112" i="6"/>
  <c r="E112" i="6"/>
  <c r="P111" i="6"/>
  <c r="L111" i="6"/>
  <c r="E111" i="6"/>
  <c r="P110" i="6"/>
  <c r="L110" i="6"/>
  <c r="E110" i="6"/>
  <c r="P109" i="6"/>
  <c r="L109" i="6"/>
  <c r="E109" i="6"/>
  <c r="P108" i="6"/>
  <c r="L108" i="6"/>
  <c r="E108" i="6"/>
  <c r="P107" i="6"/>
  <c r="L107" i="6"/>
  <c r="E107" i="6"/>
  <c r="P106" i="6"/>
  <c r="L106" i="6"/>
  <c r="E106" i="6"/>
  <c r="P105" i="6"/>
  <c r="L105" i="6"/>
  <c r="E105" i="6"/>
  <c r="P104" i="6"/>
  <c r="L104" i="6"/>
  <c r="E104" i="6"/>
  <c r="P103" i="6"/>
  <c r="L103" i="6"/>
  <c r="E103" i="6"/>
  <c r="P102" i="6"/>
  <c r="L102" i="6"/>
  <c r="J102" i="6"/>
  <c r="I102" i="6"/>
  <c r="H102" i="6"/>
  <c r="G102" i="6"/>
  <c r="F102" i="6"/>
  <c r="P101" i="6"/>
  <c r="L101" i="6"/>
  <c r="E101" i="6"/>
  <c r="E99" i="6" s="1"/>
  <c r="P100" i="6"/>
  <c r="L100" i="6"/>
  <c r="E100" i="6"/>
  <c r="P99" i="6"/>
  <c r="L99" i="6"/>
  <c r="J99" i="6"/>
  <c r="I99" i="6"/>
  <c r="H99" i="6"/>
  <c r="G99" i="6"/>
  <c r="F99" i="6"/>
  <c r="P98" i="6"/>
  <c r="L98" i="6"/>
  <c r="E98" i="6"/>
  <c r="P97" i="6"/>
  <c r="L97" i="6"/>
  <c r="J97" i="6"/>
  <c r="I97" i="6"/>
  <c r="H97" i="6"/>
  <c r="G97" i="6"/>
  <c r="F97" i="6"/>
  <c r="E97" i="6"/>
  <c r="P96" i="6"/>
  <c r="L96" i="6"/>
  <c r="E96" i="6"/>
  <c r="P95" i="6"/>
  <c r="L95" i="6"/>
  <c r="J95" i="6"/>
  <c r="I95" i="6"/>
  <c r="H95" i="6"/>
  <c r="G95" i="6"/>
  <c r="F95" i="6"/>
  <c r="E95" i="6"/>
  <c r="P94" i="6"/>
  <c r="L94" i="6"/>
  <c r="I94" i="6"/>
  <c r="I93" i="6" s="1"/>
  <c r="G94" i="6"/>
  <c r="E94" i="6" s="1"/>
  <c r="E93" i="6" s="1"/>
  <c r="P93" i="6"/>
  <c r="L93" i="6"/>
  <c r="J93" i="6"/>
  <c r="H93" i="6"/>
  <c r="F93" i="6"/>
  <c r="P92" i="6"/>
  <c r="L92" i="6"/>
  <c r="I92" i="6"/>
  <c r="I91" i="6" s="1"/>
  <c r="E92" i="6"/>
  <c r="E91" i="6" s="1"/>
  <c r="P91" i="6"/>
  <c r="L91" i="6"/>
  <c r="J91" i="6"/>
  <c r="H91" i="6"/>
  <c r="G91" i="6"/>
  <c r="F91" i="6"/>
  <c r="P90" i="6"/>
  <c r="L90" i="6"/>
  <c r="E90" i="6"/>
  <c r="P89" i="6"/>
  <c r="L89" i="6"/>
  <c r="J89" i="6"/>
  <c r="I89" i="6"/>
  <c r="H89" i="6"/>
  <c r="G89" i="6"/>
  <c r="F89" i="6"/>
  <c r="E89" i="6"/>
  <c r="P88" i="6"/>
  <c r="L88" i="6"/>
  <c r="I88" i="6"/>
  <c r="I87" i="6" s="1"/>
  <c r="E88" i="6"/>
  <c r="P87" i="6"/>
  <c r="L87" i="6"/>
  <c r="J87" i="6"/>
  <c r="H87" i="6"/>
  <c r="G87" i="6"/>
  <c r="F87" i="6"/>
  <c r="E87" i="6"/>
  <c r="P86" i="6"/>
  <c r="L86" i="6"/>
  <c r="E86" i="6"/>
  <c r="P85" i="6"/>
  <c r="L85" i="6"/>
  <c r="J85" i="6"/>
  <c r="I85" i="6"/>
  <c r="H85" i="6"/>
  <c r="G85" i="6"/>
  <c r="F85" i="6"/>
  <c r="E85" i="6"/>
  <c r="P84" i="6"/>
  <c r="L84" i="6"/>
  <c r="E84" i="6"/>
  <c r="P83" i="6"/>
  <c r="L83" i="6"/>
  <c r="J83" i="6"/>
  <c r="I83" i="6"/>
  <c r="H83" i="6"/>
  <c r="G83" i="6"/>
  <c r="F83" i="6"/>
  <c r="E83" i="6"/>
  <c r="P82" i="6"/>
  <c r="L82" i="6"/>
  <c r="E82" i="6"/>
  <c r="P81" i="6"/>
  <c r="L81" i="6"/>
  <c r="J81" i="6"/>
  <c r="I81" i="6"/>
  <c r="H81" i="6"/>
  <c r="G81" i="6"/>
  <c r="F81" i="6"/>
  <c r="E81" i="6"/>
  <c r="P80" i="6"/>
  <c r="L80" i="6"/>
  <c r="I80" i="6"/>
  <c r="I79" i="6" s="1"/>
  <c r="E80" i="6"/>
  <c r="P79" i="6"/>
  <c r="P78" i="6" s="1"/>
  <c r="L79" i="6"/>
  <c r="J79" i="6"/>
  <c r="H79" i="6"/>
  <c r="G79" i="6"/>
  <c r="F79" i="6"/>
  <c r="E79" i="6"/>
  <c r="K78" i="6"/>
  <c r="P77" i="6"/>
  <c r="L77" i="6"/>
  <c r="E77" i="6"/>
  <c r="P76" i="6"/>
  <c r="L76" i="6"/>
  <c r="K76" i="6"/>
  <c r="J76" i="6"/>
  <c r="I76" i="6"/>
  <c r="H76" i="6"/>
  <c r="F76" i="6" s="1"/>
  <c r="G76" i="6"/>
  <c r="E76" i="6" s="1"/>
  <c r="P75" i="6"/>
  <c r="L75" i="6"/>
  <c r="E75" i="6"/>
  <c r="E73" i="6" s="1"/>
  <c r="P74" i="6"/>
  <c r="L74" i="6"/>
  <c r="E74" i="6"/>
  <c r="P73" i="6"/>
  <c r="L73" i="6"/>
  <c r="K73" i="6"/>
  <c r="I73" i="6"/>
  <c r="H73" i="6"/>
  <c r="G73" i="6"/>
  <c r="F73" i="6"/>
  <c r="P72" i="6"/>
  <c r="L72" i="6"/>
  <c r="E72" i="6"/>
  <c r="P71" i="6"/>
  <c r="L71" i="6"/>
  <c r="H71" i="6"/>
  <c r="F71" i="6"/>
  <c r="E71" i="6"/>
  <c r="P70" i="6"/>
  <c r="L70" i="6"/>
  <c r="E70" i="6"/>
  <c r="P69" i="6"/>
  <c r="L69" i="6"/>
  <c r="F69" i="6"/>
  <c r="F61" i="6" s="1"/>
  <c r="E69" i="6"/>
  <c r="P68" i="6"/>
  <c r="L68" i="6"/>
  <c r="I68" i="6"/>
  <c r="I61" i="6" s="1"/>
  <c r="E68" i="6"/>
  <c r="P67" i="6"/>
  <c r="L67" i="6"/>
  <c r="E67" i="6"/>
  <c r="P66" i="6"/>
  <c r="L66" i="6"/>
  <c r="E66" i="6"/>
  <c r="P65" i="6"/>
  <c r="L65" i="6"/>
  <c r="E65" i="6"/>
  <c r="P64" i="6"/>
  <c r="L64" i="6"/>
  <c r="E64" i="6"/>
  <c r="P63" i="6"/>
  <c r="L63" i="6"/>
  <c r="E63" i="6"/>
  <c r="P62" i="6"/>
  <c r="L62" i="6"/>
  <c r="E62" i="6"/>
  <c r="P61" i="6"/>
  <c r="L61" i="6"/>
  <c r="J61" i="6"/>
  <c r="J60" i="6" s="1"/>
  <c r="H61" i="6"/>
  <c r="H60" i="6" s="1"/>
  <c r="F60" i="6" s="1"/>
  <c r="G61" i="6"/>
  <c r="G60" i="6" s="1"/>
  <c r="E60" i="6" s="1"/>
  <c r="P60" i="6"/>
  <c r="L60" i="6"/>
  <c r="P59" i="6"/>
  <c r="L59" i="6"/>
  <c r="E59" i="6"/>
  <c r="E58" i="6" s="1"/>
  <c r="P58" i="6"/>
  <c r="L58" i="6"/>
  <c r="I58" i="6"/>
  <c r="H58" i="6"/>
  <c r="G58" i="6"/>
  <c r="F58" i="6"/>
  <c r="P57" i="6"/>
  <c r="L57" i="6"/>
  <c r="G57" i="6"/>
  <c r="G56" i="6" s="1"/>
  <c r="P56" i="6"/>
  <c r="L56" i="6"/>
  <c r="J56" i="6"/>
  <c r="I56" i="6"/>
  <c r="H56" i="6"/>
  <c r="F56" i="6"/>
  <c r="P55" i="6"/>
  <c r="L55" i="6"/>
  <c r="I55" i="6"/>
  <c r="G55" i="6"/>
  <c r="E55" i="6" s="1"/>
  <c r="F55" i="6"/>
  <c r="P54" i="6"/>
  <c r="L54" i="6"/>
  <c r="G54" i="6"/>
  <c r="E54" i="6" s="1"/>
  <c r="F54" i="6"/>
  <c r="P53" i="6"/>
  <c r="L53" i="6"/>
  <c r="I53" i="6"/>
  <c r="G53" i="6"/>
  <c r="E53" i="6" s="1"/>
  <c r="F53" i="6"/>
  <c r="P52" i="6"/>
  <c r="L52" i="6"/>
  <c r="I52" i="6"/>
  <c r="G52" i="6"/>
  <c r="E52" i="6" s="1"/>
  <c r="F52" i="6"/>
  <c r="P51" i="6"/>
  <c r="L51" i="6"/>
  <c r="G51" i="6"/>
  <c r="E51" i="6" s="1"/>
  <c r="F51" i="6"/>
  <c r="P50" i="6"/>
  <c r="L50" i="6"/>
  <c r="I50" i="6"/>
  <c r="G50" i="6"/>
  <c r="E50" i="6" s="1"/>
  <c r="F50" i="6"/>
  <c r="P49" i="6"/>
  <c r="L49" i="6"/>
  <c r="J49" i="6"/>
  <c r="I49" i="6"/>
  <c r="G49" i="6"/>
  <c r="E49" i="6" s="1"/>
  <c r="F49" i="6"/>
  <c r="P48" i="6"/>
  <c r="L48" i="6"/>
  <c r="I48" i="6"/>
  <c r="G48" i="6"/>
  <c r="F48" i="6"/>
  <c r="E48" i="6"/>
  <c r="P47" i="6"/>
  <c r="L47" i="6"/>
  <c r="I47" i="6"/>
  <c r="G47" i="6"/>
  <c r="E47" i="6" s="1"/>
  <c r="F47" i="6"/>
  <c r="P46" i="6"/>
  <c r="L46" i="6"/>
  <c r="I46" i="6"/>
  <c r="I43" i="6" s="1"/>
  <c r="G46" i="6"/>
  <c r="E46" i="6" s="1"/>
  <c r="F46" i="6"/>
  <c r="P45" i="6"/>
  <c r="L45" i="6"/>
  <c r="I45" i="6"/>
  <c r="G45" i="6"/>
  <c r="E45" i="6" s="1"/>
  <c r="F45" i="6"/>
  <c r="P44" i="6"/>
  <c r="L44" i="6"/>
  <c r="G44" i="6"/>
  <c r="E44" i="6" s="1"/>
  <c r="F44" i="6"/>
  <c r="P43" i="6"/>
  <c r="L43" i="6"/>
  <c r="J43" i="6"/>
  <c r="H43" i="6"/>
  <c r="G43" i="6"/>
  <c r="P42" i="6"/>
  <c r="L42" i="6"/>
  <c r="F42" i="6"/>
  <c r="E42" i="6"/>
  <c r="P41" i="6"/>
  <c r="L41" i="6"/>
  <c r="I41" i="6"/>
  <c r="F41" i="6"/>
  <c r="E41" i="6"/>
  <c r="P40" i="6"/>
  <c r="L40" i="6"/>
  <c r="F40" i="6"/>
  <c r="E40" i="6"/>
  <c r="P39" i="6"/>
  <c r="L39" i="6"/>
  <c r="F39" i="6"/>
  <c r="E39" i="6"/>
  <c r="P38" i="6"/>
  <c r="L38" i="6"/>
  <c r="F38" i="6"/>
  <c r="E38" i="6"/>
  <c r="P37" i="6"/>
  <c r="L37" i="6"/>
  <c r="F37" i="6"/>
  <c r="F31" i="6" s="1"/>
  <c r="E37" i="6"/>
  <c r="P36" i="6"/>
  <c r="L36" i="6"/>
  <c r="I36" i="6"/>
  <c r="F36" i="6"/>
  <c r="E36" i="6"/>
  <c r="P35" i="6"/>
  <c r="L35" i="6"/>
  <c r="I35" i="6"/>
  <c r="F35" i="6"/>
  <c r="E35" i="6"/>
  <c r="P34" i="6"/>
  <c r="L34" i="6"/>
  <c r="F34" i="6"/>
  <c r="E34" i="6"/>
  <c r="P33" i="6"/>
  <c r="L33" i="6"/>
  <c r="F33" i="6"/>
  <c r="E33" i="6"/>
  <c r="P32" i="6"/>
  <c r="L32" i="6"/>
  <c r="F32" i="6"/>
  <c r="E32" i="6"/>
  <c r="P31" i="6"/>
  <c r="L31" i="6"/>
  <c r="J31" i="6"/>
  <c r="H31" i="6"/>
  <c r="G31" i="6"/>
  <c r="P30" i="6"/>
  <c r="L30" i="6"/>
  <c r="F30" i="6" s="1"/>
  <c r="G30" i="6"/>
  <c r="E30" i="6" s="1"/>
  <c r="P29" i="6"/>
  <c r="L29" i="6"/>
  <c r="G29" i="6"/>
  <c r="E29" i="6" s="1"/>
  <c r="F29" i="6"/>
  <c r="P28" i="6"/>
  <c r="L28" i="6"/>
  <c r="K28" i="6"/>
  <c r="I28" i="6"/>
  <c r="G28" i="6"/>
  <c r="F28" i="6"/>
  <c r="P27" i="6"/>
  <c r="L27" i="6"/>
  <c r="I27" i="6"/>
  <c r="G27" i="6"/>
  <c r="E27" i="6" s="1"/>
  <c r="F27" i="6"/>
  <c r="P26" i="6"/>
  <c r="L26" i="6"/>
  <c r="I26" i="6"/>
  <c r="G26" i="6"/>
  <c r="E26" i="6" s="1"/>
  <c r="F26" i="6"/>
  <c r="F24" i="6" s="1"/>
  <c r="P25" i="6"/>
  <c r="L25" i="6"/>
  <c r="I25" i="6"/>
  <c r="G25" i="6"/>
  <c r="E25" i="6" s="1"/>
  <c r="F25" i="6"/>
  <c r="U24" i="6"/>
  <c r="T24" i="6"/>
  <c r="S24" i="6"/>
  <c r="R24" i="6"/>
  <c r="R23" i="6" s="1"/>
  <c r="R116" i="6" s="1"/>
  <c r="Q24" i="6"/>
  <c r="O24" i="6"/>
  <c r="O23" i="6" s="1"/>
  <c r="O116" i="6" s="1"/>
  <c r="N24" i="6"/>
  <c r="N23" i="6" s="1"/>
  <c r="N116" i="6" s="1"/>
  <c r="M24" i="6"/>
  <c r="M23" i="6" s="1"/>
  <c r="M116" i="6" s="1"/>
  <c r="K24" i="6"/>
  <c r="J24" i="6"/>
  <c r="J23" i="6" s="1"/>
  <c r="H24" i="6"/>
  <c r="U23" i="6"/>
  <c r="U116" i="6" s="1"/>
  <c r="T23" i="6"/>
  <c r="T116" i="6" s="1"/>
  <c r="S23" i="6"/>
  <c r="S116" i="6" s="1"/>
  <c r="Q23" i="6"/>
  <c r="Q116" i="6" s="1"/>
  <c r="K23" i="6"/>
  <c r="H23" i="6"/>
  <c r="P22" i="6"/>
  <c r="L22" i="6"/>
  <c r="F22" i="6" s="1"/>
  <c r="F21" i="6" s="1"/>
  <c r="E22" i="6"/>
  <c r="P21" i="6"/>
  <c r="L21" i="6"/>
  <c r="K21" i="6"/>
  <c r="J21" i="6"/>
  <c r="J14" i="6" s="1"/>
  <c r="I21" i="6"/>
  <c r="H21" i="6"/>
  <c r="G21" i="6"/>
  <c r="E21" i="6"/>
  <c r="P20" i="6"/>
  <c r="L20" i="6"/>
  <c r="F20" i="6" s="1"/>
  <c r="E20" i="6"/>
  <c r="P19" i="6"/>
  <c r="L19" i="6"/>
  <c r="K19" i="6"/>
  <c r="I19" i="6"/>
  <c r="H19" i="6"/>
  <c r="F19" i="6" s="1"/>
  <c r="G19" i="6"/>
  <c r="E19" i="6" s="1"/>
  <c r="P18" i="6"/>
  <c r="L18" i="6"/>
  <c r="F18" i="6" s="1"/>
  <c r="F17" i="6" s="1"/>
  <c r="E18" i="6"/>
  <c r="E17" i="6" s="1"/>
  <c r="P17" i="6"/>
  <c r="L17" i="6"/>
  <c r="J17" i="6"/>
  <c r="I17" i="6"/>
  <c r="I14" i="6" s="1"/>
  <c r="H17" i="6"/>
  <c r="G17" i="6"/>
  <c r="P16" i="6"/>
  <c r="L16" i="6"/>
  <c r="F16" i="6" s="1"/>
  <c r="F15" i="6" s="1"/>
  <c r="E16" i="6"/>
  <c r="P15" i="6"/>
  <c r="L15" i="6"/>
  <c r="J15" i="6"/>
  <c r="I15" i="6"/>
  <c r="H15" i="6"/>
  <c r="G15" i="6"/>
  <c r="G14" i="6" s="1"/>
  <c r="E14" i="6" s="1"/>
  <c r="E15" i="6"/>
  <c r="P14" i="6"/>
  <c r="L14" i="6"/>
  <c r="K116" i="6"/>
  <c r="E85" i="5"/>
  <c r="E83" i="5"/>
  <c r="S72" i="5"/>
  <c r="O72" i="5"/>
  <c r="G72" i="5"/>
  <c r="E72" i="5" s="1"/>
  <c r="F72" i="5"/>
  <c r="W71" i="5"/>
  <c r="S71" i="5"/>
  <c r="S70" i="5" s="1"/>
  <c r="O71" i="5"/>
  <c r="O70" i="5" s="1"/>
  <c r="K71" i="5"/>
  <c r="K70" i="5" s="1"/>
  <c r="J71" i="5"/>
  <c r="I71" i="5"/>
  <c r="I70" i="5" s="1"/>
  <c r="H71" i="5"/>
  <c r="F71" i="5" s="1"/>
  <c r="W70" i="5"/>
  <c r="V70" i="5"/>
  <c r="U70" i="5"/>
  <c r="T70" i="5"/>
  <c r="R70" i="5"/>
  <c r="Q70" i="5"/>
  <c r="P70" i="5"/>
  <c r="N70" i="5"/>
  <c r="M70" i="5"/>
  <c r="L70" i="5"/>
  <c r="J70" i="5"/>
  <c r="S69" i="5"/>
  <c r="S65" i="5" s="1"/>
  <c r="S64" i="5" s="1"/>
  <c r="O69" i="5"/>
  <c r="K69" i="5"/>
  <c r="G69" i="5"/>
  <c r="E69" i="5" s="1"/>
  <c r="F69" i="5"/>
  <c r="S68" i="5"/>
  <c r="P68" i="5"/>
  <c r="O68" i="5" s="1"/>
  <c r="G68" i="5"/>
  <c r="E68" i="5" s="1"/>
  <c r="F68" i="5"/>
  <c r="S67" i="5"/>
  <c r="O67" i="5"/>
  <c r="F67" i="5"/>
  <c r="E67" i="5"/>
  <c r="S66" i="5"/>
  <c r="O66" i="5"/>
  <c r="K66" i="5"/>
  <c r="E66" i="5" s="1"/>
  <c r="F66" i="5"/>
  <c r="W65" i="5"/>
  <c r="V65" i="5"/>
  <c r="V64" i="5" s="1"/>
  <c r="U65" i="5"/>
  <c r="U64" i="5" s="1"/>
  <c r="T65" i="5"/>
  <c r="T64" i="5" s="1"/>
  <c r="R65" i="5"/>
  <c r="Q65" i="5"/>
  <c r="N65" i="5"/>
  <c r="M65" i="5"/>
  <c r="L65" i="5"/>
  <c r="K65" i="5"/>
  <c r="K64" i="5" s="1"/>
  <c r="J65" i="5"/>
  <c r="I65" i="5"/>
  <c r="H65" i="5"/>
  <c r="G65" i="5"/>
  <c r="E65" i="5" s="1"/>
  <c r="R64" i="5"/>
  <c r="Q64" i="5"/>
  <c r="N64" i="5"/>
  <c r="M64" i="5"/>
  <c r="L64" i="5"/>
  <c r="J64" i="5"/>
  <c r="I64" i="5"/>
  <c r="H64" i="5"/>
  <c r="S63" i="5"/>
  <c r="O63" i="5"/>
  <c r="F63" i="5"/>
  <c r="E63" i="5"/>
  <c r="S62" i="5"/>
  <c r="O62" i="5"/>
  <c r="F62" i="5"/>
  <c r="E62" i="5"/>
  <c r="S61" i="5"/>
  <c r="O61" i="5"/>
  <c r="K61" i="5"/>
  <c r="E61" i="5" s="1"/>
  <c r="F61" i="5"/>
  <c r="S60" i="5"/>
  <c r="O60" i="5"/>
  <c r="K60" i="5"/>
  <c r="E60" i="5" s="1"/>
  <c r="F60" i="5"/>
  <c r="S59" i="5"/>
  <c r="O59" i="5"/>
  <c r="F59" i="5"/>
  <c r="E59" i="5"/>
  <c r="S58" i="5"/>
  <c r="O58" i="5"/>
  <c r="O57" i="5" s="1"/>
  <c r="O56" i="5" s="1"/>
  <c r="F58" i="5"/>
  <c r="E58" i="5"/>
  <c r="W57" i="5"/>
  <c r="V57" i="5"/>
  <c r="V56" i="5" s="1"/>
  <c r="U57" i="5"/>
  <c r="T57" i="5"/>
  <c r="S57" i="5"/>
  <c r="S56" i="5" s="1"/>
  <c r="R57" i="5"/>
  <c r="R56" i="5" s="1"/>
  <c r="Q57" i="5"/>
  <c r="Q56" i="5" s="1"/>
  <c r="P57" i="5"/>
  <c r="N57" i="5"/>
  <c r="N56" i="5" s="1"/>
  <c r="M57" i="5"/>
  <c r="L57" i="5"/>
  <c r="L56" i="5" s="1"/>
  <c r="J57" i="5"/>
  <c r="J56" i="5" s="1"/>
  <c r="I57" i="5"/>
  <c r="H57" i="5"/>
  <c r="G57" i="5"/>
  <c r="U56" i="5"/>
  <c r="T56" i="5"/>
  <c r="P56" i="5"/>
  <c r="M56" i="5"/>
  <c r="I56" i="5"/>
  <c r="H56" i="5"/>
  <c r="S55" i="5"/>
  <c r="O55" i="5"/>
  <c r="E55" i="5"/>
  <c r="W54" i="5"/>
  <c r="F54" i="5" s="1"/>
  <c r="K54" i="5"/>
  <c r="J54" i="5"/>
  <c r="E54" i="5"/>
  <c r="S53" i="5"/>
  <c r="O53" i="5"/>
  <c r="K53" i="5"/>
  <c r="F53" i="5"/>
  <c r="S52" i="5"/>
  <c r="O52" i="5"/>
  <c r="F52" i="5"/>
  <c r="E52" i="5"/>
  <c r="S51" i="5"/>
  <c r="O51" i="5"/>
  <c r="F51" i="5"/>
  <c r="E51" i="5"/>
  <c r="S50" i="5"/>
  <c r="O50" i="5"/>
  <c r="F50" i="5"/>
  <c r="E50" i="5"/>
  <c r="S49" i="5"/>
  <c r="O49" i="5"/>
  <c r="K49" i="5"/>
  <c r="G49" i="5"/>
  <c r="E49" i="5" s="1"/>
  <c r="F49" i="5"/>
  <c r="S48" i="5"/>
  <c r="O48" i="5"/>
  <c r="K48" i="5"/>
  <c r="G48" i="5"/>
  <c r="F48" i="5"/>
  <c r="S47" i="5"/>
  <c r="O47" i="5"/>
  <c r="F47" i="5"/>
  <c r="E47" i="5"/>
  <c r="S46" i="5"/>
  <c r="O46" i="5"/>
  <c r="K46" i="5"/>
  <c r="G46" i="5"/>
  <c r="F46" i="5"/>
  <c r="W45" i="5"/>
  <c r="W44" i="5" s="1"/>
  <c r="V45" i="5"/>
  <c r="V44" i="5" s="1"/>
  <c r="U45" i="5"/>
  <c r="T45" i="5"/>
  <c r="T44" i="5" s="1"/>
  <c r="S45" i="5"/>
  <c r="S44" i="5" s="1"/>
  <c r="R45" i="5"/>
  <c r="Q45" i="5"/>
  <c r="Q44" i="5" s="1"/>
  <c r="P45" i="5"/>
  <c r="P44" i="5" s="1"/>
  <c r="N45" i="5"/>
  <c r="N44" i="5" s="1"/>
  <c r="M45" i="5"/>
  <c r="M44" i="5" s="1"/>
  <c r="L45" i="5"/>
  <c r="L44" i="5" s="1"/>
  <c r="J45" i="5"/>
  <c r="I45" i="5"/>
  <c r="I44" i="5" s="1"/>
  <c r="H45" i="5"/>
  <c r="U44" i="5"/>
  <c r="R44" i="5"/>
  <c r="J44" i="5"/>
  <c r="S43" i="5"/>
  <c r="O43" i="5"/>
  <c r="F43" i="5"/>
  <c r="E43" i="5"/>
  <c r="S42" i="5"/>
  <c r="O42" i="5"/>
  <c r="K42" i="5"/>
  <c r="E42" i="5" s="1"/>
  <c r="F42" i="5"/>
  <c r="S41" i="5"/>
  <c r="O41" i="5"/>
  <c r="K41" i="5"/>
  <c r="F41" i="5"/>
  <c r="E41" i="5"/>
  <c r="S40" i="5"/>
  <c r="S39" i="5" s="1"/>
  <c r="S38" i="5" s="1"/>
  <c r="O40" i="5"/>
  <c r="O39" i="5" s="1"/>
  <c r="O38" i="5" s="1"/>
  <c r="K40" i="5"/>
  <c r="G40" i="5"/>
  <c r="F40" i="5"/>
  <c r="W39" i="5"/>
  <c r="V39" i="5"/>
  <c r="V38" i="5" s="1"/>
  <c r="U39" i="5"/>
  <c r="T39" i="5"/>
  <c r="R39" i="5"/>
  <c r="R38" i="5" s="1"/>
  <c r="Q39" i="5"/>
  <c r="Q38" i="5" s="1"/>
  <c r="P39" i="5"/>
  <c r="N39" i="5"/>
  <c r="N38" i="5" s="1"/>
  <c r="M39" i="5"/>
  <c r="M38" i="5" s="1"/>
  <c r="L39" i="5"/>
  <c r="L38" i="5" s="1"/>
  <c r="J39" i="5"/>
  <c r="J38" i="5" s="1"/>
  <c r="I39" i="5"/>
  <c r="I38" i="5" s="1"/>
  <c r="H39" i="5"/>
  <c r="W38" i="5"/>
  <c r="U38" i="5"/>
  <c r="T38" i="5"/>
  <c r="P38" i="5"/>
  <c r="S37" i="5"/>
  <c r="O37" i="5"/>
  <c r="F37" i="5"/>
  <c r="E37" i="5"/>
  <c r="S36" i="5"/>
  <c r="S35" i="5" s="1"/>
  <c r="S34" i="5" s="1"/>
  <c r="O36" i="5"/>
  <c r="O35" i="5" s="1"/>
  <c r="O34" i="5" s="1"/>
  <c r="K36" i="5"/>
  <c r="K35" i="5" s="1"/>
  <c r="K34" i="5" s="1"/>
  <c r="G36" i="5"/>
  <c r="F36" i="5"/>
  <c r="W35" i="5"/>
  <c r="V35" i="5"/>
  <c r="V34" i="5" s="1"/>
  <c r="U35" i="5"/>
  <c r="T35" i="5"/>
  <c r="T34" i="5" s="1"/>
  <c r="R35" i="5"/>
  <c r="R34" i="5" s="1"/>
  <c r="Q35" i="5"/>
  <c r="Q34" i="5" s="1"/>
  <c r="P35" i="5"/>
  <c r="N35" i="5"/>
  <c r="N34" i="5" s="1"/>
  <c r="M35" i="5"/>
  <c r="L35" i="5"/>
  <c r="L34" i="5" s="1"/>
  <c r="J35" i="5"/>
  <c r="J34" i="5" s="1"/>
  <c r="I35" i="5"/>
  <c r="I34" i="5" s="1"/>
  <c r="H35" i="5"/>
  <c r="H34" i="5" s="1"/>
  <c r="U34" i="5"/>
  <c r="P34" i="5"/>
  <c r="M34" i="5"/>
  <c r="S33" i="5"/>
  <c r="O33" i="5"/>
  <c r="F33" i="5"/>
  <c r="E33" i="5"/>
  <c r="S32" i="5"/>
  <c r="O32" i="5"/>
  <c r="F32" i="5"/>
  <c r="E32" i="5"/>
  <c r="S31" i="5"/>
  <c r="O31" i="5"/>
  <c r="F31" i="5"/>
  <c r="E31" i="5"/>
  <c r="S30" i="5"/>
  <c r="O30" i="5"/>
  <c r="F30" i="5"/>
  <c r="E30" i="5"/>
  <c r="S29" i="5"/>
  <c r="O29" i="5"/>
  <c r="F29" i="5"/>
  <c r="E29" i="5"/>
  <c r="S28" i="5"/>
  <c r="O28" i="5"/>
  <c r="F28" i="5"/>
  <c r="E28" i="5"/>
  <c r="S27" i="5"/>
  <c r="O27" i="5"/>
  <c r="O26" i="5" s="1"/>
  <c r="O25" i="5" s="1"/>
  <c r="K27" i="5"/>
  <c r="K26" i="5" s="1"/>
  <c r="K25" i="5" s="1"/>
  <c r="G27" i="5"/>
  <c r="W26" i="5"/>
  <c r="W25" i="5" s="1"/>
  <c r="V26" i="5"/>
  <c r="U26" i="5"/>
  <c r="U25" i="5" s="1"/>
  <c r="T26" i="5"/>
  <c r="S26" i="5"/>
  <c r="S25" i="5" s="1"/>
  <c r="R26" i="5"/>
  <c r="R25" i="5" s="1"/>
  <c r="Q26" i="5"/>
  <c r="Q25" i="5" s="1"/>
  <c r="P26" i="5"/>
  <c r="P25" i="5" s="1"/>
  <c r="N26" i="5"/>
  <c r="N25" i="5" s="1"/>
  <c r="M26" i="5"/>
  <c r="M25" i="5" s="1"/>
  <c r="L26" i="5"/>
  <c r="L25" i="5" s="1"/>
  <c r="J26" i="5"/>
  <c r="I26" i="5"/>
  <c r="I25" i="5" s="1"/>
  <c r="H26" i="5"/>
  <c r="V25" i="5"/>
  <c r="T25" i="5"/>
  <c r="J25" i="5"/>
  <c r="H25" i="5"/>
  <c r="F25" i="5" s="1"/>
  <c r="S24" i="5"/>
  <c r="O24" i="5"/>
  <c r="F24" i="5"/>
  <c r="E24" i="5"/>
  <c r="S23" i="5"/>
  <c r="O23" i="5"/>
  <c r="F23" i="5"/>
  <c r="E23" i="5"/>
  <c r="S22" i="5"/>
  <c r="S21" i="5" s="1"/>
  <c r="S20" i="5" s="1"/>
  <c r="O22" i="5"/>
  <c r="O21" i="5" s="1"/>
  <c r="O20" i="5" s="1"/>
  <c r="K22" i="5"/>
  <c r="E22" i="5" s="1"/>
  <c r="F22" i="5"/>
  <c r="W21" i="5"/>
  <c r="V21" i="5"/>
  <c r="U21" i="5"/>
  <c r="T21" i="5"/>
  <c r="T20" i="5" s="1"/>
  <c r="R21" i="5"/>
  <c r="R20" i="5" s="1"/>
  <c r="Q21" i="5"/>
  <c r="P21" i="5"/>
  <c r="P20" i="5" s="1"/>
  <c r="N21" i="5"/>
  <c r="N20" i="5" s="1"/>
  <c r="M21" i="5"/>
  <c r="M20" i="5" s="1"/>
  <c r="L21" i="5"/>
  <c r="L20" i="5" s="1"/>
  <c r="J21" i="5"/>
  <c r="I21" i="5"/>
  <c r="I20" i="5" s="1"/>
  <c r="H21" i="5"/>
  <c r="F21" i="5" s="1"/>
  <c r="G21" i="5"/>
  <c r="W20" i="5"/>
  <c r="V20" i="5"/>
  <c r="U20" i="5"/>
  <c r="Q20" i="5"/>
  <c r="J20" i="5"/>
  <c r="G20" i="5"/>
  <c r="S19" i="5"/>
  <c r="R19" i="5"/>
  <c r="O19" i="5" s="1"/>
  <c r="K19" i="5"/>
  <c r="G19" i="5"/>
  <c r="S18" i="5"/>
  <c r="O18" i="5"/>
  <c r="K18" i="5"/>
  <c r="E18" i="5"/>
  <c r="S17" i="5"/>
  <c r="O17" i="5"/>
  <c r="K17" i="5"/>
  <c r="E17" i="5"/>
  <c r="S16" i="5"/>
  <c r="S15" i="5" s="1"/>
  <c r="O16" i="5"/>
  <c r="O15" i="5" s="1"/>
  <c r="H16" i="5"/>
  <c r="G16" i="5"/>
  <c r="E16" i="5" s="1"/>
  <c r="F16" i="5"/>
  <c r="W15" i="5"/>
  <c r="W13" i="5" s="1"/>
  <c r="V15" i="5"/>
  <c r="V13" i="5" s="1"/>
  <c r="U15" i="5"/>
  <c r="T15" i="5"/>
  <c r="R15" i="5"/>
  <c r="R13" i="5" s="1"/>
  <c r="Q15" i="5"/>
  <c r="P15" i="5"/>
  <c r="P13" i="5" s="1"/>
  <c r="N15" i="5"/>
  <c r="N13" i="5" s="1"/>
  <c r="M15" i="5"/>
  <c r="M13" i="5" s="1"/>
  <c r="M73" i="5" s="1"/>
  <c r="L15" i="5"/>
  <c r="J15" i="5"/>
  <c r="J13" i="5" s="1"/>
  <c r="I15" i="5"/>
  <c r="I13" i="5" s="1"/>
  <c r="H15" i="5"/>
  <c r="S14" i="5"/>
  <c r="O14" i="5"/>
  <c r="F14" i="5"/>
  <c r="E14" i="5"/>
  <c r="U13" i="5"/>
  <c r="T13" i="5"/>
  <c r="Q13" i="5"/>
  <c r="L13" i="5"/>
  <c r="L73" i="5" s="1"/>
  <c r="E49" i="4"/>
  <c r="M45" i="4"/>
  <c r="L45" i="4" s="1"/>
  <c r="F45" i="4"/>
  <c r="E45" i="4"/>
  <c r="M44" i="4"/>
  <c r="L44" i="4" s="1"/>
  <c r="K44" i="4"/>
  <c r="I44" i="4"/>
  <c r="G44" i="4"/>
  <c r="F44" i="4"/>
  <c r="Q43" i="4"/>
  <c r="F43" i="4" s="1"/>
  <c r="M43" i="4"/>
  <c r="L43" i="4" s="1"/>
  <c r="K43" i="4"/>
  <c r="K41" i="4" s="1"/>
  <c r="I43" i="4"/>
  <c r="G43" i="4"/>
  <c r="M42" i="4"/>
  <c r="L42" i="4" s="1"/>
  <c r="I42" i="4"/>
  <c r="G42" i="4"/>
  <c r="F42" i="4"/>
  <c r="E42" i="4"/>
  <c r="Q41" i="4"/>
  <c r="P41" i="4"/>
  <c r="O41" i="4"/>
  <c r="N41" i="4"/>
  <c r="J41" i="4"/>
  <c r="H41" i="4"/>
  <c r="M40" i="4"/>
  <c r="L40" i="4" s="1"/>
  <c r="G40" i="4"/>
  <c r="E40" i="4" s="1"/>
  <c r="F40" i="4"/>
  <c r="M39" i="4"/>
  <c r="L39" i="4" s="1"/>
  <c r="K39" i="4"/>
  <c r="G39" i="4"/>
  <c r="F39" i="4"/>
  <c r="M38" i="4"/>
  <c r="L38" i="4" s="1"/>
  <c r="F38" i="4"/>
  <c r="E38" i="4"/>
  <c r="M37" i="4"/>
  <c r="L37" i="4" s="1"/>
  <c r="K37" i="4"/>
  <c r="G37" i="4"/>
  <c r="F37" i="4"/>
  <c r="M36" i="4"/>
  <c r="L36" i="4" s="1"/>
  <c r="G36" i="4"/>
  <c r="E36" i="4" s="1"/>
  <c r="F36" i="4"/>
  <c r="M35" i="4"/>
  <c r="L35" i="4" s="1"/>
  <c r="I35" i="4"/>
  <c r="F35" i="4"/>
  <c r="E35" i="4"/>
  <c r="M34" i="4"/>
  <c r="L34" i="4" s="1"/>
  <c r="G34" i="4"/>
  <c r="F34" i="4"/>
  <c r="E34" i="4"/>
  <c r="M33" i="4"/>
  <c r="L33" i="4" s="1"/>
  <c r="I33" i="4"/>
  <c r="F33" i="4"/>
  <c r="E33" i="4"/>
  <c r="M32" i="4"/>
  <c r="L32" i="4" s="1"/>
  <c r="G32" i="4"/>
  <c r="E32" i="4" s="1"/>
  <c r="F32" i="4"/>
  <c r="M31" i="4"/>
  <c r="L31" i="4" s="1"/>
  <c r="F31" i="4"/>
  <c r="E31" i="4"/>
  <c r="M30" i="4"/>
  <c r="L30" i="4" s="1"/>
  <c r="G30" i="4"/>
  <c r="E30" i="4" s="1"/>
  <c r="F30" i="4"/>
  <c r="M29" i="4"/>
  <c r="L29" i="4" s="1"/>
  <c r="G29" i="4"/>
  <c r="E29" i="4" s="1"/>
  <c r="F29" i="4"/>
  <c r="M28" i="4"/>
  <c r="L28" i="4"/>
  <c r="F28" i="4"/>
  <c r="E28" i="4"/>
  <c r="M27" i="4"/>
  <c r="L27" i="4"/>
  <c r="G27" i="4"/>
  <c r="E27" i="4" s="1"/>
  <c r="F27" i="4"/>
  <c r="M26" i="4"/>
  <c r="L26" i="4"/>
  <c r="G26" i="4"/>
  <c r="E26" i="4" s="1"/>
  <c r="F26" i="4"/>
  <c r="M25" i="4"/>
  <c r="L25" i="4"/>
  <c r="G25" i="4"/>
  <c r="E25" i="4" s="1"/>
  <c r="F25" i="4"/>
  <c r="M24" i="4"/>
  <c r="L24" i="4" s="1"/>
  <c r="F24" i="4"/>
  <c r="E24" i="4"/>
  <c r="M23" i="4"/>
  <c r="L23" i="4" s="1"/>
  <c r="F23" i="4"/>
  <c r="E23" i="4"/>
  <c r="M22" i="4"/>
  <c r="L22" i="4" s="1"/>
  <c r="G22" i="4"/>
  <c r="E22" i="4" s="1"/>
  <c r="F22" i="4"/>
  <c r="M21" i="4"/>
  <c r="L21" i="4" s="1"/>
  <c r="F21" i="4"/>
  <c r="E21" i="4"/>
  <c r="M20" i="4"/>
  <c r="L20" i="4" s="1"/>
  <c r="G20" i="4"/>
  <c r="E20" i="4" s="1"/>
  <c r="F20" i="4"/>
  <c r="M19" i="4"/>
  <c r="L19" i="4" s="1"/>
  <c r="H19" i="4"/>
  <c r="F19" i="4" s="1"/>
  <c r="E19" i="4"/>
  <c r="M18" i="4"/>
  <c r="L18" i="4" s="1"/>
  <c r="G18" i="4"/>
  <c r="E18" i="4" s="1"/>
  <c r="F18" i="4"/>
  <c r="M17" i="4"/>
  <c r="L17" i="4" s="1"/>
  <c r="G17" i="4"/>
  <c r="E17" i="4" s="1"/>
  <c r="F17" i="4"/>
  <c r="M16" i="4"/>
  <c r="L16" i="4"/>
  <c r="G16" i="4"/>
  <c r="E16" i="4" s="1"/>
  <c r="F16" i="4"/>
  <c r="M15" i="4"/>
  <c r="L15" i="4"/>
  <c r="H15" i="4"/>
  <c r="F15" i="4" s="1"/>
  <c r="E15" i="4"/>
  <c r="M14" i="4"/>
  <c r="L14" i="4"/>
  <c r="F14" i="4"/>
  <c r="E14" i="4"/>
  <c r="Q13" i="4"/>
  <c r="P13" i="4"/>
  <c r="P46" i="4" s="1"/>
  <c r="O13" i="4"/>
  <c r="N13" i="4"/>
  <c r="N46" i="4" s="1"/>
  <c r="J13" i="4"/>
  <c r="J46" i="4" s="1"/>
  <c r="I13" i="4"/>
  <c r="E64" i="3"/>
  <c r="M60" i="3"/>
  <c r="F60" i="3"/>
  <c r="E60" i="3"/>
  <c r="M59" i="3"/>
  <c r="L59" i="3"/>
  <c r="F59" i="3"/>
  <c r="E59" i="3"/>
  <c r="M58" i="3"/>
  <c r="L58" i="3"/>
  <c r="F58" i="3"/>
  <c r="E58" i="3"/>
  <c r="M57" i="3"/>
  <c r="L57" i="3"/>
  <c r="F57" i="3"/>
  <c r="E57" i="3"/>
  <c r="M56" i="3"/>
  <c r="L56" i="3"/>
  <c r="F56" i="3"/>
  <c r="E56" i="3"/>
  <c r="M55" i="3"/>
  <c r="L55" i="3"/>
  <c r="L54" i="3" s="1"/>
  <c r="G55" i="3"/>
  <c r="E55" i="3" s="1"/>
  <c r="F55" i="3"/>
  <c r="Q54" i="3"/>
  <c r="P54" i="3"/>
  <c r="O54" i="3"/>
  <c r="N54" i="3"/>
  <c r="M54" i="3"/>
  <c r="K54" i="3"/>
  <c r="J54" i="3"/>
  <c r="I54" i="3"/>
  <c r="H54" i="3"/>
  <c r="F54" i="3" s="1"/>
  <c r="M53" i="3"/>
  <c r="L53" i="3" s="1"/>
  <c r="F53" i="3"/>
  <c r="E53" i="3"/>
  <c r="M52" i="3"/>
  <c r="L52" i="3" s="1"/>
  <c r="F52" i="3"/>
  <c r="E52" i="3"/>
  <c r="M51" i="3"/>
  <c r="L51" i="3" s="1"/>
  <c r="F51" i="3"/>
  <c r="E51" i="3"/>
  <c r="M50" i="3"/>
  <c r="L50" i="3" s="1"/>
  <c r="F50" i="3"/>
  <c r="E50" i="3"/>
  <c r="M49" i="3"/>
  <c r="F49" i="3"/>
  <c r="E49" i="3"/>
  <c r="Q48" i="3"/>
  <c r="P48" i="3"/>
  <c r="O48" i="3"/>
  <c r="N48" i="3"/>
  <c r="K48" i="3"/>
  <c r="J48" i="3"/>
  <c r="I48" i="3"/>
  <c r="H48" i="3"/>
  <c r="F48" i="3" s="1"/>
  <c r="G48" i="3"/>
  <c r="E48" i="3" s="1"/>
  <c r="M47" i="3"/>
  <c r="L47" i="3" s="1"/>
  <c r="F47" i="3"/>
  <c r="E47" i="3"/>
  <c r="M46" i="3"/>
  <c r="L46" i="3" s="1"/>
  <c r="F46" i="3"/>
  <c r="E46" i="3"/>
  <c r="M45" i="3"/>
  <c r="L45" i="3" s="1"/>
  <c r="G45" i="3"/>
  <c r="E45" i="3" s="1"/>
  <c r="F45" i="3"/>
  <c r="M44" i="3"/>
  <c r="L44" i="3"/>
  <c r="G44" i="3"/>
  <c r="E44" i="3" s="1"/>
  <c r="F44" i="3"/>
  <c r="M43" i="3"/>
  <c r="G43" i="3"/>
  <c r="F43" i="3"/>
  <c r="M42" i="3"/>
  <c r="L42" i="3" s="1"/>
  <c r="G42" i="3"/>
  <c r="E42" i="3" s="1"/>
  <c r="F42" i="3"/>
  <c r="M41" i="3"/>
  <c r="L41" i="3" s="1"/>
  <c r="H41" i="3"/>
  <c r="F41" i="3"/>
  <c r="E41" i="3"/>
  <c r="M40" i="3"/>
  <c r="L40" i="3" s="1"/>
  <c r="F40" i="3"/>
  <c r="E40" i="3"/>
  <c r="Q39" i="3"/>
  <c r="P39" i="3"/>
  <c r="O39" i="3"/>
  <c r="N39" i="3"/>
  <c r="K39" i="3"/>
  <c r="J39" i="3"/>
  <c r="I39" i="3"/>
  <c r="H39" i="3"/>
  <c r="F39" i="3" s="1"/>
  <c r="M38" i="3"/>
  <c r="L38" i="3"/>
  <c r="F38" i="3"/>
  <c r="E38" i="3"/>
  <c r="M37" i="3"/>
  <c r="L37" i="3"/>
  <c r="L36" i="3" s="1"/>
  <c r="G37" i="3"/>
  <c r="E37" i="3" s="1"/>
  <c r="F37" i="3"/>
  <c r="Q36" i="3"/>
  <c r="P36" i="3"/>
  <c r="O36" i="3"/>
  <c r="N36" i="3"/>
  <c r="M36" i="3"/>
  <c r="K36" i="3"/>
  <c r="J36" i="3"/>
  <c r="I36" i="3"/>
  <c r="H36" i="3"/>
  <c r="F36" i="3" s="1"/>
  <c r="M35" i="3"/>
  <c r="L35" i="3" s="1"/>
  <c r="L34" i="3" s="1"/>
  <c r="G35" i="3"/>
  <c r="E35" i="3" s="1"/>
  <c r="F35" i="3"/>
  <c r="Q34" i="3"/>
  <c r="P34" i="3"/>
  <c r="O34" i="3"/>
  <c r="N34" i="3"/>
  <c r="K34" i="3"/>
  <c r="J34" i="3"/>
  <c r="I34" i="3"/>
  <c r="H34" i="3"/>
  <c r="G34" i="3"/>
  <c r="E34" i="3" s="1"/>
  <c r="M33" i="3"/>
  <c r="L33" i="3"/>
  <c r="F33" i="3"/>
  <c r="E33" i="3"/>
  <c r="M32" i="3"/>
  <c r="L32" i="3"/>
  <c r="F32" i="3"/>
  <c r="E32" i="3"/>
  <c r="M31" i="3"/>
  <c r="L31" i="3"/>
  <c r="F31" i="3"/>
  <c r="E31" i="3"/>
  <c r="M30" i="3"/>
  <c r="L30" i="3"/>
  <c r="F30" i="3"/>
  <c r="E30" i="3"/>
  <c r="M29" i="3"/>
  <c r="L29" i="3"/>
  <c r="G29" i="3"/>
  <c r="E29" i="3" s="1"/>
  <c r="F29" i="3"/>
  <c r="M28" i="3"/>
  <c r="L28" i="3" s="1"/>
  <c r="I28" i="3"/>
  <c r="G28" i="3"/>
  <c r="E28" i="3" s="1"/>
  <c r="F28" i="3"/>
  <c r="M27" i="3"/>
  <c r="L27" i="3" s="1"/>
  <c r="H27" i="3"/>
  <c r="F27" i="3" s="1"/>
  <c r="E27" i="3"/>
  <c r="M26" i="3"/>
  <c r="L26" i="3" s="1"/>
  <c r="H26" i="3"/>
  <c r="F26" i="3" s="1"/>
  <c r="G26" i="3"/>
  <c r="E26" i="3"/>
  <c r="M25" i="3"/>
  <c r="L25" i="3" s="1"/>
  <c r="F25" i="3"/>
  <c r="E25" i="3"/>
  <c r="M24" i="3"/>
  <c r="L24" i="3" s="1"/>
  <c r="F24" i="3"/>
  <c r="E24" i="3"/>
  <c r="M23" i="3"/>
  <c r="L23" i="3" s="1"/>
  <c r="F23" i="3"/>
  <c r="E23" i="3"/>
  <c r="M22" i="3"/>
  <c r="L22" i="3" s="1"/>
  <c r="G22" i="3"/>
  <c r="F22" i="3"/>
  <c r="E22" i="3"/>
  <c r="M21" i="3"/>
  <c r="L21" i="3" s="1"/>
  <c r="G21" i="3"/>
  <c r="E21" i="3" s="1"/>
  <c r="F21" i="3"/>
  <c r="M20" i="3"/>
  <c r="L20" i="3" s="1"/>
  <c r="F20" i="3"/>
  <c r="E20" i="3"/>
  <c r="M19" i="3"/>
  <c r="L19" i="3" s="1"/>
  <c r="G19" i="3"/>
  <c r="E19" i="3" s="1"/>
  <c r="F19" i="3"/>
  <c r="M18" i="3"/>
  <c r="L18" i="3" s="1"/>
  <c r="I18" i="3"/>
  <c r="G18" i="3"/>
  <c r="E18" i="3" s="1"/>
  <c r="F18" i="3"/>
  <c r="M17" i="3"/>
  <c r="L17" i="3" s="1"/>
  <c r="G17" i="3"/>
  <c r="E17" i="3" s="1"/>
  <c r="F17" i="3"/>
  <c r="M16" i="3"/>
  <c r="L16" i="3" s="1"/>
  <c r="F16" i="3"/>
  <c r="E16" i="3"/>
  <c r="M15" i="3"/>
  <c r="L15" i="3" s="1"/>
  <c r="H15" i="3"/>
  <c r="F15" i="3" s="1"/>
  <c r="E15" i="3"/>
  <c r="Q14" i="3"/>
  <c r="P14" i="3"/>
  <c r="O14" i="3"/>
  <c r="N14" i="3"/>
  <c r="K14" i="3"/>
  <c r="J14" i="3"/>
  <c r="I14" i="3"/>
  <c r="I61" i="3" s="1"/>
  <c r="I65" i="3" s="1"/>
  <c r="E66" i="2"/>
  <c r="M62" i="2"/>
  <c r="L62" i="2" s="1"/>
  <c r="F62" i="2"/>
  <c r="E62" i="2"/>
  <c r="M61" i="2"/>
  <c r="L61" i="2" s="1"/>
  <c r="F61" i="2"/>
  <c r="E61" i="2"/>
  <c r="M60" i="2"/>
  <c r="L60" i="2" s="1"/>
  <c r="F60" i="2"/>
  <c r="E60" i="2"/>
  <c r="M59" i="2"/>
  <c r="L59" i="2" s="1"/>
  <c r="F59" i="2"/>
  <c r="E59" i="2"/>
  <c r="M58" i="2"/>
  <c r="L58" i="2" s="1"/>
  <c r="F58" i="2"/>
  <c r="E58" i="2"/>
  <c r="M57" i="2"/>
  <c r="L57" i="2" s="1"/>
  <c r="F57" i="2"/>
  <c r="E57" i="2"/>
  <c r="M56" i="2"/>
  <c r="L56" i="2" s="1"/>
  <c r="F56" i="2"/>
  <c r="E56" i="2"/>
  <c r="M55" i="2"/>
  <c r="L55" i="2" s="1"/>
  <c r="G55" i="2"/>
  <c r="F55" i="2"/>
  <c r="M54" i="2"/>
  <c r="L54" i="2" s="1"/>
  <c r="H54" i="2"/>
  <c r="F54" i="2" s="1"/>
  <c r="E54" i="2"/>
  <c r="M53" i="2"/>
  <c r="L53" i="2" s="1"/>
  <c r="F53" i="2"/>
  <c r="E53" i="2"/>
  <c r="M52" i="2"/>
  <c r="L52" i="2" s="1"/>
  <c r="H52" i="2"/>
  <c r="F52" i="2" s="1"/>
  <c r="E52" i="2"/>
  <c r="M51" i="2"/>
  <c r="L51" i="2" s="1"/>
  <c r="F51" i="2"/>
  <c r="E51" i="2"/>
  <c r="Q50" i="2"/>
  <c r="P50" i="2"/>
  <c r="O50" i="2"/>
  <c r="N50" i="2"/>
  <c r="K50" i="2"/>
  <c r="J50" i="2"/>
  <c r="I50" i="2"/>
  <c r="M49" i="2"/>
  <c r="L49" i="2" s="1"/>
  <c r="F49" i="2"/>
  <c r="E49" i="2"/>
  <c r="M48" i="2"/>
  <c r="L48" i="2" s="1"/>
  <c r="G48" i="2"/>
  <c r="E48" i="2" s="1"/>
  <c r="F48" i="2"/>
  <c r="M47" i="2"/>
  <c r="L47" i="2" s="1"/>
  <c r="G47" i="2"/>
  <c r="E47" i="2" s="1"/>
  <c r="F47" i="2"/>
  <c r="M46" i="2"/>
  <c r="L46" i="2" s="1"/>
  <c r="G46" i="2"/>
  <c r="E46" i="2" s="1"/>
  <c r="F46" i="2"/>
  <c r="M45" i="2"/>
  <c r="L45" i="2" s="1"/>
  <c r="G45" i="2"/>
  <c r="E45" i="2" s="1"/>
  <c r="F45" i="2"/>
  <c r="M44" i="2"/>
  <c r="L44" i="2" s="1"/>
  <c r="F44" i="2"/>
  <c r="E44" i="2"/>
  <c r="M43" i="2"/>
  <c r="L43" i="2" s="1"/>
  <c r="G43" i="2"/>
  <c r="E43" i="2" s="1"/>
  <c r="F43" i="2"/>
  <c r="M42" i="2"/>
  <c r="L42" i="2" s="1"/>
  <c r="F42" i="2"/>
  <c r="E42" i="2"/>
  <c r="Q41" i="2"/>
  <c r="P41" i="2"/>
  <c r="O41" i="2"/>
  <c r="N41" i="2"/>
  <c r="K41" i="2"/>
  <c r="J41" i="2"/>
  <c r="I41" i="2"/>
  <c r="H41" i="2"/>
  <c r="F41" i="2" s="1"/>
  <c r="M40" i="2"/>
  <c r="L40" i="2" s="1"/>
  <c r="H40" i="2"/>
  <c r="F40" i="2" s="1"/>
  <c r="E40" i="2"/>
  <c r="M39" i="2"/>
  <c r="L39" i="2" s="1"/>
  <c r="G39" i="2"/>
  <c r="E39" i="2" s="1"/>
  <c r="F39" i="2"/>
  <c r="M38" i="2"/>
  <c r="L38" i="2" s="1"/>
  <c r="K38" i="2"/>
  <c r="E38" i="2" s="1"/>
  <c r="G38" i="2"/>
  <c r="F38" i="2"/>
  <c r="M37" i="2"/>
  <c r="L37" i="2" s="1"/>
  <c r="G37" i="2"/>
  <c r="F37" i="2"/>
  <c r="E37" i="2"/>
  <c r="M36" i="2"/>
  <c r="L36" i="2" s="1"/>
  <c r="F36" i="2"/>
  <c r="E36" i="2"/>
  <c r="M35" i="2"/>
  <c r="L35" i="2" s="1"/>
  <c r="F35" i="2"/>
  <c r="E35" i="2"/>
  <c r="M34" i="2"/>
  <c r="L34" i="2" s="1"/>
  <c r="F34" i="2"/>
  <c r="E34" i="2"/>
  <c r="M33" i="2"/>
  <c r="L33" i="2" s="1"/>
  <c r="F33" i="2"/>
  <c r="E33" i="2"/>
  <c r="M32" i="2"/>
  <c r="L32" i="2" s="1"/>
  <c r="H32" i="2"/>
  <c r="F32" i="2" s="1"/>
  <c r="E32" i="2"/>
  <c r="M31" i="2"/>
  <c r="L31" i="2" s="1"/>
  <c r="I31" i="2"/>
  <c r="I12" i="2" s="1"/>
  <c r="F31" i="2"/>
  <c r="E31" i="2"/>
  <c r="M30" i="2"/>
  <c r="L30" i="2" s="1"/>
  <c r="F30" i="2"/>
  <c r="E30" i="2"/>
  <c r="M29" i="2"/>
  <c r="L29" i="2" s="1"/>
  <c r="K29" i="2"/>
  <c r="G29" i="2"/>
  <c r="F29" i="2"/>
  <c r="M28" i="2"/>
  <c r="L28" i="2" s="1"/>
  <c r="H28" i="2"/>
  <c r="F28" i="2" s="1"/>
  <c r="E28" i="2"/>
  <c r="M27" i="2"/>
  <c r="L27" i="2"/>
  <c r="F27" i="2"/>
  <c r="E27" i="2"/>
  <c r="M26" i="2"/>
  <c r="L26" i="2"/>
  <c r="G26" i="2"/>
  <c r="E26" i="2" s="1"/>
  <c r="F26" i="2"/>
  <c r="M25" i="2"/>
  <c r="L25" i="2" s="1"/>
  <c r="F25" i="2"/>
  <c r="E25" i="2"/>
  <c r="M24" i="2"/>
  <c r="L24" i="2" s="1"/>
  <c r="G24" i="2"/>
  <c r="E24" i="2" s="1"/>
  <c r="F24" i="2"/>
  <c r="M23" i="2"/>
  <c r="L23" i="2" s="1"/>
  <c r="G23" i="2"/>
  <c r="E23" i="2" s="1"/>
  <c r="F23" i="2"/>
  <c r="M22" i="2"/>
  <c r="L22" i="2" s="1"/>
  <c r="G22" i="2"/>
  <c r="E22" i="2" s="1"/>
  <c r="F22" i="2"/>
  <c r="M21" i="2"/>
  <c r="L21" i="2" s="1"/>
  <c r="K21" i="2"/>
  <c r="G21" i="2"/>
  <c r="F21" i="2"/>
  <c r="M20" i="2"/>
  <c r="L20" i="2" s="1"/>
  <c r="F20" i="2"/>
  <c r="E20" i="2"/>
  <c r="M19" i="2"/>
  <c r="L19" i="2" s="1"/>
  <c r="F19" i="2"/>
  <c r="E19" i="2"/>
  <c r="M18" i="2"/>
  <c r="L18" i="2" s="1"/>
  <c r="F18" i="2"/>
  <c r="E18" i="2"/>
  <c r="M17" i="2"/>
  <c r="L17" i="2" s="1"/>
  <c r="F17" i="2"/>
  <c r="E17" i="2"/>
  <c r="M16" i="2"/>
  <c r="L16" i="2" s="1"/>
  <c r="F16" i="2"/>
  <c r="E16" i="2"/>
  <c r="M15" i="2"/>
  <c r="L15" i="2" s="1"/>
  <c r="F15" i="2"/>
  <c r="E15" i="2"/>
  <c r="M14" i="2"/>
  <c r="L14" i="2" s="1"/>
  <c r="F14" i="2"/>
  <c r="E14" i="2"/>
  <c r="M13" i="2"/>
  <c r="L13" i="2" s="1"/>
  <c r="F13" i="2"/>
  <c r="E13" i="2"/>
  <c r="Q12" i="2"/>
  <c r="P12" i="2"/>
  <c r="P63" i="2" s="1"/>
  <c r="O12" i="2"/>
  <c r="N12" i="2"/>
  <c r="N63" i="2" s="1"/>
  <c r="J12" i="2"/>
  <c r="C335" i="1"/>
  <c r="E330" i="1"/>
  <c r="E324" i="1"/>
  <c r="P320" i="1"/>
  <c r="L320" i="1"/>
  <c r="F320" i="1"/>
  <c r="E320" i="1"/>
  <c r="P319" i="1"/>
  <c r="M319" i="1"/>
  <c r="L319" i="1" s="1"/>
  <c r="I319" i="1"/>
  <c r="G319" i="1"/>
  <c r="F319" i="1"/>
  <c r="E319" i="1"/>
  <c r="P318" i="1"/>
  <c r="L318" i="1"/>
  <c r="F318" i="1"/>
  <c r="E318" i="1"/>
  <c r="P317" i="1"/>
  <c r="L317" i="1"/>
  <c r="K317" i="1"/>
  <c r="I317" i="1"/>
  <c r="G317" i="1"/>
  <c r="E317" i="1" s="1"/>
  <c r="F317" i="1"/>
  <c r="P316" i="1"/>
  <c r="L316" i="1"/>
  <c r="F316" i="1"/>
  <c r="E316" i="1"/>
  <c r="P315" i="1"/>
  <c r="M315" i="1"/>
  <c r="L315" i="1" s="1"/>
  <c r="I315" i="1"/>
  <c r="G315" i="1"/>
  <c r="E315" i="1" s="1"/>
  <c r="F315" i="1"/>
  <c r="P314" i="1"/>
  <c r="L314" i="1"/>
  <c r="F314" i="1"/>
  <c r="E314" i="1"/>
  <c r="P313" i="1"/>
  <c r="N313" i="1"/>
  <c r="M313" i="1"/>
  <c r="L313" i="1" s="1"/>
  <c r="K313" i="1"/>
  <c r="I313" i="1"/>
  <c r="G313" i="1"/>
  <c r="E313" i="1" s="1"/>
  <c r="F313" i="1"/>
  <c r="P312" i="1"/>
  <c r="L312" i="1"/>
  <c r="F312" i="1"/>
  <c r="E312" i="1"/>
  <c r="P311" i="1"/>
  <c r="N311" i="1"/>
  <c r="M311" i="1"/>
  <c r="L311" i="1" s="1"/>
  <c r="J311" i="1"/>
  <c r="I311" i="1"/>
  <c r="G311" i="1"/>
  <c r="E311" i="1" s="1"/>
  <c r="F311" i="1"/>
  <c r="P310" i="1"/>
  <c r="L310" i="1"/>
  <c r="F310" i="1"/>
  <c r="E310" i="1"/>
  <c r="P309" i="1"/>
  <c r="L309" i="1"/>
  <c r="I309" i="1"/>
  <c r="G309" i="1"/>
  <c r="E309" i="1" s="1"/>
  <c r="F309" i="1"/>
  <c r="P308" i="1"/>
  <c r="L308" i="1"/>
  <c r="F308" i="1"/>
  <c r="E308" i="1"/>
  <c r="P307" i="1"/>
  <c r="N307" i="1"/>
  <c r="M307" i="1"/>
  <c r="L307" i="1" s="1"/>
  <c r="I307" i="1"/>
  <c r="G307" i="1"/>
  <c r="E307" i="1" s="1"/>
  <c r="F307" i="1"/>
  <c r="P306" i="1"/>
  <c r="L306" i="1"/>
  <c r="F306" i="1"/>
  <c r="E306" i="1"/>
  <c r="P305" i="1"/>
  <c r="L305" i="1"/>
  <c r="I305" i="1"/>
  <c r="G305" i="1"/>
  <c r="E305" i="1" s="1"/>
  <c r="F305" i="1"/>
  <c r="P304" i="1"/>
  <c r="L304" i="1"/>
  <c r="F304" i="1"/>
  <c r="E304" i="1"/>
  <c r="P303" i="1"/>
  <c r="L303" i="1"/>
  <c r="K303" i="1"/>
  <c r="J303" i="1"/>
  <c r="I303" i="1"/>
  <c r="G303" i="1"/>
  <c r="E303" i="1" s="1"/>
  <c r="F303" i="1"/>
  <c r="P302" i="1"/>
  <c r="L302" i="1"/>
  <c r="F302" i="1"/>
  <c r="E302" i="1"/>
  <c r="P301" i="1"/>
  <c r="L301" i="1"/>
  <c r="I301" i="1"/>
  <c r="G301" i="1"/>
  <c r="E301" i="1" s="1"/>
  <c r="F301" i="1"/>
  <c r="P300" i="1"/>
  <c r="L300" i="1"/>
  <c r="F300" i="1"/>
  <c r="E300" i="1"/>
  <c r="P299" i="1"/>
  <c r="N299" i="1"/>
  <c r="M299" i="1"/>
  <c r="L299" i="1" s="1"/>
  <c r="K299" i="1"/>
  <c r="I299" i="1"/>
  <c r="G299" i="1"/>
  <c r="F299" i="1"/>
  <c r="P298" i="1"/>
  <c r="L298" i="1"/>
  <c r="F298" i="1"/>
  <c r="E298" i="1"/>
  <c r="E297" i="1" s="1"/>
  <c r="P297" i="1"/>
  <c r="L297" i="1"/>
  <c r="H297" i="1"/>
  <c r="G297" i="1"/>
  <c r="F297" i="1"/>
  <c r="P296" i="1"/>
  <c r="L296" i="1"/>
  <c r="K296" i="1"/>
  <c r="G296" i="1"/>
  <c r="F296" i="1"/>
  <c r="P295" i="1"/>
  <c r="L295" i="1"/>
  <c r="F295" i="1"/>
  <c r="E295" i="1"/>
  <c r="P294" i="1"/>
  <c r="L294" i="1"/>
  <c r="F294" i="1"/>
  <c r="E294" i="1"/>
  <c r="P293" i="1"/>
  <c r="L293" i="1"/>
  <c r="F293" i="1"/>
  <c r="E293" i="1"/>
  <c r="P292" i="1"/>
  <c r="L292" i="1"/>
  <c r="F292" i="1"/>
  <c r="E292" i="1"/>
  <c r="P291" i="1"/>
  <c r="L291" i="1"/>
  <c r="F291" i="1"/>
  <c r="E291" i="1"/>
  <c r="P290" i="1"/>
  <c r="L290" i="1"/>
  <c r="L289" i="1" s="1"/>
  <c r="J290" i="1"/>
  <c r="I290" i="1"/>
  <c r="G290" i="1"/>
  <c r="E290" i="1" s="1"/>
  <c r="F290" i="1"/>
  <c r="X289" i="1"/>
  <c r="W289" i="1"/>
  <c r="W286" i="1" s="1"/>
  <c r="V289" i="1"/>
  <c r="V286" i="1" s="1"/>
  <c r="U289" i="1"/>
  <c r="U286" i="1" s="1"/>
  <c r="T289" i="1"/>
  <c r="S289" i="1"/>
  <c r="S286" i="1" s="1"/>
  <c r="R289" i="1"/>
  <c r="R286" i="1" s="1"/>
  <c r="Q289" i="1"/>
  <c r="Q286" i="1" s="1"/>
  <c r="O289" i="1"/>
  <c r="O286" i="1" s="1"/>
  <c r="N289" i="1"/>
  <c r="M289" i="1"/>
  <c r="K289" i="1"/>
  <c r="K286" i="1" s="1"/>
  <c r="J289" i="1"/>
  <c r="I289" i="1"/>
  <c r="H289" i="1"/>
  <c r="F289" i="1"/>
  <c r="P288" i="1"/>
  <c r="L288" i="1"/>
  <c r="I288" i="1"/>
  <c r="I286" i="1" s="1"/>
  <c r="G288" i="1"/>
  <c r="E288" i="1" s="1"/>
  <c r="F288" i="1"/>
  <c r="P287" i="1"/>
  <c r="L287" i="1"/>
  <c r="F287" i="1"/>
  <c r="E287" i="1"/>
  <c r="X286" i="1"/>
  <c r="T286" i="1"/>
  <c r="H286" i="1"/>
  <c r="P285" i="1"/>
  <c r="L285" i="1"/>
  <c r="F285" i="1"/>
  <c r="E285" i="1"/>
  <c r="P284" i="1"/>
  <c r="L284" i="1"/>
  <c r="F284" i="1"/>
  <c r="E284" i="1"/>
  <c r="P283" i="1"/>
  <c r="L283" i="1"/>
  <c r="K283" i="1"/>
  <c r="K282" i="1" s="1"/>
  <c r="I283" i="1"/>
  <c r="I282" i="1" s="1"/>
  <c r="H283" i="1"/>
  <c r="F283" i="1" s="1"/>
  <c r="G283" i="1"/>
  <c r="X282" i="1"/>
  <c r="W282" i="1"/>
  <c r="V282" i="1"/>
  <c r="U282" i="1"/>
  <c r="T282" i="1"/>
  <c r="S282" i="1"/>
  <c r="R282" i="1"/>
  <c r="Q282" i="1"/>
  <c r="P282" i="1"/>
  <c r="O282" i="1"/>
  <c r="N282" i="1"/>
  <c r="M282" i="1"/>
  <c r="L282" i="1"/>
  <c r="J282" i="1"/>
  <c r="H282" i="1"/>
  <c r="F282" i="1" s="1"/>
  <c r="P281" i="1"/>
  <c r="L281" i="1"/>
  <c r="F281" i="1"/>
  <c r="E281" i="1"/>
  <c r="P280" i="1"/>
  <c r="L280" i="1"/>
  <c r="K280" i="1"/>
  <c r="K279" i="1" s="1"/>
  <c r="K278" i="1" s="1"/>
  <c r="I280" i="1"/>
  <c r="I279" i="1" s="1"/>
  <c r="I278" i="1" s="1"/>
  <c r="H280" i="1"/>
  <c r="G280" i="1"/>
  <c r="P279" i="1"/>
  <c r="P278" i="1" s="1"/>
  <c r="L279" i="1"/>
  <c r="G279" i="1"/>
  <c r="X278" i="1"/>
  <c r="W278" i="1"/>
  <c r="V278" i="1"/>
  <c r="U278" i="1"/>
  <c r="T278" i="1"/>
  <c r="S278" i="1"/>
  <c r="R278" i="1"/>
  <c r="Q278" i="1"/>
  <c r="O278" i="1"/>
  <c r="N278" i="1"/>
  <c r="M278" i="1"/>
  <c r="L278" i="1"/>
  <c r="J278" i="1"/>
  <c r="P277" i="1"/>
  <c r="L277" i="1"/>
  <c r="I277" i="1"/>
  <c r="G277" i="1"/>
  <c r="E277" i="1" s="1"/>
  <c r="F277" i="1"/>
  <c r="P276" i="1"/>
  <c r="L276" i="1"/>
  <c r="J276" i="1"/>
  <c r="I276" i="1"/>
  <c r="G276" i="1"/>
  <c r="E276" i="1" s="1"/>
  <c r="F276" i="1"/>
  <c r="P275" i="1"/>
  <c r="L275" i="1"/>
  <c r="K275" i="1"/>
  <c r="I275" i="1"/>
  <c r="G275" i="1"/>
  <c r="F275" i="1"/>
  <c r="P274" i="1"/>
  <c r="L274" i="1"/>
  <c r="I274" i="1"/>
  <c r="G274" i="1"/>
  <c r="E274" i="1" s="1"/>
  <c r="F274" i="1"/>
  <c r="P273" i="1"/>
  <c r="L273" i="1"/>
  <c r="I273" i="1"/>
  <c r="G273" i="1"/>
  <c r="E273" i="1" s="1"/>
  <c r="F273" i="1"/>
  <c r="P272" i="1"/>
  <c r="L272" i="1"/>
  <c r="K272" i="1"/>
  <c r="I272" i="1"/>
  <c r="G272" i="1"/>
  <c r="E272" i="1" s="1"/>
  <c r="F272" i="1"/>
  <c r="P271" i="1"/>
  <c r="L271" i="1"/>
  <c r="K271" i="1"/>
  <c r="I271" i="1"/>
  <c r="G271" i="1"/>
  <c r="F271" i="1"/>
  <c r="P270" i="1"/>
  <c r="L270" i="1"/>
  <c r="I270" i="1"/>
  <c r="G270" i="1"/>
  <c r="E270" i="1" s="1"/>
  <c r="F270" i="1"/>
  <c r="P269" i="1"/>
  <c r="O269" i="1"/>
  <c r="L269" i="1" s="1"/>
  <c r="M269" i="1"/>
  <c r="K269" i="1"/>
  <c r="I269" i="1"/>
  <c r="G269" i="1"/>
  <c r="F269" i="1"/>
  <c r="X268" i="1"/>
  <c r="F268" i="1" s="1"/>
  <c r="P268" i="1"/>
  <c r="M268" i="1"/>
  <c r="K268" i="1"/>
  <c r="I268" i="1"/>
  <c r="G268" i="1"/>
  <c r="P267" i="1"/>
  <c r="L267" i="1"/>
  <c r="K267" i="1"/>
  <c r="J267" i="1"/>
  <c r="I267" i="1"/>
  <c r="G267" i="1"/>
  <c r="F267" i="1"/>
  <c r="P266" i="1"/>
  <c r="L266" i="1"/>
  <c r="F266" i="1"/>
  <c r="E266" i="1"/>
  <c r="P265" i="1"/>
  <c r="L265" i="1"/>
  <c r="G265" i="1"/>
  <c r="E265" i="1" s="1"/>
  <c r="F265" i="1"/>
  <c r="P264" i="1"/>
  <c r="L264" i="1"/>
  <c r="G264" i="1"/>
  <c r="E264" i="1" s="1"/>
  <c r="F264" i="1"/>
  <c r="P263" i="1"/>
  <c r="L263" i="1"/>
  <c r="K263" i="1"/>
  <c r="G263" i="1"/>
  <c r="F263" i="1"/>
  <c r="P262" i="1"/>
  <c r="L262" i="1"/>
  <c r="F262" i="1"/>
  <c r="E262" i="1"/>
  <c r="P261" i="1"/>
  <c r="L261" i="1"/>
  <c r="K261" i="1"/>
  <c r="E261" i="1" s="1"/>
  <c r="F261" i="1"/>
  <c r="P260" i="1"/>
  <c r="L260" i="1"/>
  <c r="F260" i="1"/>
  <c r="E260" i="1"/>
  <c r="P259" i="1"/>
  <c r="P258" i="1" s="1"/>
  <c r="L259" i="1"/>
  <c r="G259" i="1"/>
  <c r="E259" i="1" s="1"/>
  <c r="F259" i="1"/>
  <c r="X258" i="1"/>
  <c r="X255" i="1" s="1"/>
  <c r="W258" i="1"/>
  <c r="W255" i="1" s="1"/>
  <c r="W254" i="1" s="1"/>
  <c r="V258" i="1"/>
  <c r="U258" i="1"/>
  <c r="U255" i="1" s="1"/>
  <c r="U254" i="1" s="1"/>
  <c r="T258" i="1"/>
  <c r="T255" i="1" s="1"/>
  <c r="T254" i="1" s="1"/>
  <c r="S258" i="1"/>
  <c r="S255" i="1" s="1"/>
  <c r="S254" i="1" s="1"/>
  <c r="R258" i="1"/>
  <c r="Q258" i="1"/>
  <c r="Q255" i="1" s="1"/>
  <c r="Q254" i="1" s="1"/>
  <c r="O258" i="1"/>
  <c r="O255" i="1" s="1"/>
  <c r="O254" i="1" s="1"/>
  <c r="N258" i="1"/>
  <c r="N255" i="1" s="1"/>
  <c r="N254" i="1" s="1"/>
  <c r="M258" i="1"/>
  <c r="M255" i="1" s="1"/>
  <c r="J258" i="1"/>
  <c r="I258" i="1"/>
  <c r="I255" i="1" s="1"/>
  <c r="H258" i="1"/>
  <c r="F258" i="1" s="1"/>
  <c r="P257" i="1"/>
  <c r="L257" i="1"/>
  <c r="K257" i="1"/>
  <c r="E257" i="1" s="1"/>
  <c r="F257" i="1"/>
  <c r="P256" i="1"/>
  <c r="L256" i="1"/>
  <c r="G256" i="1"/>
  <c r="F256" i="1"/>
  <c r="V255" i="1"/>
  <c r="V254" i="1" s="1"/>
  <c r="R255" i="1"/>
  <c r="R254" i="1" s="1"/>
  <c r="J254" i="1"/>
  <c r="P253" i="1"/>
  <c r="L253" i="1"/>
  <c r="F253" i="1"/>
  <c r="E253" i="1"/>
  <c r="P252" i="1"/>
  <c r="L252" i="1"/>
  <c r="G252" i="1"/>
  <c r="E252" i="1" s="1"/>
  <c r="F252" i="1"/>
  <c r="P251" i="1"/>
  <c r="L251" i="1"/>
  <c r="F251" i="1"/>
  <c r="E251" i="1"/>
  <c r="P250" i="1"/>
  <c r="L250" i="1"/>
  <c r="F250" i="1"/>
  <c r="E250" i="1"/>
  <c r="P249" i="1"/>
  <c r="L249" i="1"/>
  <c r="F249" i="1"/>
  <c r="E249" i="1"/>
  <c r="P248" i="1"/>
  <c r="L248" i="1"/>
  <c r="G248" i="1"/>
  <c r="E248" i="1" s="1"/>
  <c r="F248" i="1"/>
  <c r="P247" i="1"/>
  <c r="L247" i="1"/>
  <c r="G247" i="1"/>
  <c r="E247" i="1" s="1"/>
  <c r="F247" i="1"/>
  <c r="P246" i="1"/>
  <c r="L246" i="1"/>
  <c r="F246" i="1"/>
  <c r="E246" i="1"/>
  <c r="P245" i="1"/>
  <c r="L245" i="1"/>
  <c r="G245" i="1"/>
  <c r="E245" i="1" s="1"/>
  <c r="F245" i="1"/>
  <c r="P244" i="1"/>
  <c r="L244" i="1"/>
  <c r="F244" i="1"/>
  <c r="E244" i="1"/>
  <c r="P243" i="1"/>
  <c r="L243" i="1"/>
  <c r="F243" i="1"/>
  <c r="E243" i="1"/>
  <c r="P242" i="1"/>
  <c r="L242" i="1"/>
  <c r="F242" i="1"/>
  <c r="E242" i="1"/>
  <c r="P241" i="1"/>
  <c r="L241" i="1"/>
  <c r="F241" i="1"/>
  <c r="E241" i="1"/>
  <c r="P240" i="1"/>
  <c r="L240" i="1"/>
  <c r="F240" i="1"/>
  <c r="E240" i="1"/>
  <c r="P239" i="1"/>
  <c r="L239" i="1"/>
  <c r="K239" i="1"/>
  <c r="E239" i="1" s="1"/>
  <c r="F239" i="1"/>
  <c r="P238" i="1"/>
  <c r="O238" i="1"/>
  <c r="K238" i="1"/>
  <c r="E238" i="1" s="1"/>
  <c r="G238" i="1"/>
  <c r="F238" i="1"/>
  <c r="P237" i="1"/>
  <c r="L237" i="1"/>
  <c r="F237" i="1"/>
  <c r="E237" i="1"/>
  <c r="P236" i="1"/>
  <c r="L236" i="1"/>
  <c r="K236" i="1"/>
  <c r="E236" i="1" s="1"/>
  <c r="F236" i="1"/>
  <c r="P235" i="1"/>
  <c r="O235" i="1"/>
  <c r="L235" i="1" s="1"/>
  <c r="K235" i="1"/>
  <c r="G235" i="1"/>
  <c r="F235" i="1"/>
  <c r="P234" i="1"/>
  <c r="L234" i="1"/>
  <c r="G234" i="1"/>
  <c r="E234" i="1" s="1"/>
  <c r="F234" i="1"/>
  <c r="P233" i="1"/>
  <c r="L233" i="1"/>
  <c r="F233" i="1"/>
  <c r="E233" i="1"/>
  <c r="P232" i="1"/>
  <c r="L232" i="1"/>
  <c r="G232" i="1"/>
  <c r="E232" i="1" s="1"/>
  <c r="F232" i="1"/>
  <c r="P231" i="1"/>
  <c r="L231" i="1"/>
  <c r="K231" i="1"/>
  <c r="E231" i="1" s="1"/>
  <c r="F231" i="1"/>
  <c r="P230" i="1"/>
  <c r="L230" i="1"/>
  <c r="K230" i="1"/>
  <c r="E230" i="1" s="1"/>
  <c r="F230" i="1"/>
  <c r="P229" i="1"/>
  <c r="L229" i="1"/>
  <c r="H229" i="1"/>
  <c r="F229" i="1" s="1"/>
  <c r="E229" i="1"/>
  <c r="P228" i="1"/>
  <c r="L228" i="1"/>
  <c r="K228" i="1"/>
  <c r="F228" i="1"/>
  <c r="E228" i="1"/>
  <c r="X227" i="1"/>
  <c r="P227" i="1"/>
  <c r="L227" i="1"/>
  <c r="F227" i="1"/>
  <c r="E227" i="1"/>
  <c r="P226" i="1"/>
  <c r="L226" i="1"/>
  <c r="K226" i="1"/>
  <c r="E226" i="1" s="1"/>
  <c r="F226" i="1"/>
  <c r="P225" i="1"/>
  <c r="L225" i="1"/>
  <c r="F225" i="1"/>
  <c r="E225" i="1"/>
  <c r="P224" i="1"/>
  <c r="L224" i="1"/>
  <c r="F224" i="1"/>
  <c r="E224" i="1"/>
  <c r="P223" i="1"/>
  <c r="L223" i="1"/>
  <c r="K223" i="1"/>
  <c r="G223" i="1"/>
  <c r="F223" i="1"/>
  <c r="P222" i="1"/>
  <c r="L222" i="1"/>
  <c r="F222" i="1"/>
  <c r="E222" i="1"/>
  <c r="P221" i="1"/>
  <c r="L221" i="1"/>
  <c r="F221" i="1"/>
  <c r="E221" i="1"/>
  <c r="P220" i="1"/>
  <c r="L220" i="1"/>
  <c r="K220" i="1"/>
  <c r="F220" i="1"/>
  <c r="E220" i="1"/>
  <c r="P219" i="1"/>
  <c r="L219" i="1"/>
  <c r="F219" i="1"/>
  <c r="E219" i="1"/>
  <c r="P218" i="1"/>
  <c r="L218" i="1"/>
  <c r="K218" i="1"/>
  <c r="E218" i="1" s="1"/>
  <c r="F218" i="1"/>
  <c r="X217" i="1"/>
  <c r="F217" i="1" s="1"/>
  <c r="P217" i="1"/>
  <c r="L217" i="1"/>
  <c r="E217" i="1"/>
  <c r="P216" i="1"/>
  <c r="L216" i="1"/>
  <c r="F216" i="1"/>
  <c r="E216" i="1"/>
  <c r="P215" i="1"/>
  <c r="L215" i="1"/>
  <c r="F215" i="1"/>
  <c r="E215" i="1"/>
  <c r="P214" i="1"/>
  <c r="L214" i="1"/>
  <c r="F214" i="1"/>
  <c r="E214" i="1"/>
  <c r="P213" i="1"/>
  <c r="L213" i="1"/>
  <c r="K213" i="1"/>
  <c r="E213" i="1" s="1"/>
  <c r="F213" i="1"/>
  <c r="P212" i="1"/>
  <c r="L212" i="1"/>
  <c r="K212" i="1"/>
  <c r="E212" i="1" s="1"/>
  <c r="F212" i="1"/>
  <c r="P211" i="1"/>
  <c r="L211" i="1"/>
  <c r="K211" i="1"/>
  <c r="F211" i="1"/>
  <c r="P210" i="1"/>
  <c r="L210" i="1"/>
  <c r="K210" i="1"/>
  <c r="E210" i="1" s="1"/>
  <c r="F210" i="1"/>
  <c r="P209" i="1"/>
  <c r="L209" i="1"/>
  <c r="F209" i="1"/>
  <c r="E209" i="1"/>
  <c r="P208" i="1"/>
  <c r="L208" i="1"/>
  <c r="F208" i="1"/>
  <c r="E208" i="1"/>
  <c r="P207" i="1"/>
  <c r="L207" i="1"/>
  <c r="F207" i="1"/>
  <c r="E207" i="1"/>
  <c r="P206" i="1"/>
  <c r="L206" i="1"/>
  <c r="F206" i="1"/>
  <c r="E206" i="1"/>
  <c r="P205" i="1"/>
  <c r="L205" i="1"/>
  <c r="G205" i="1"/>
  <c r="E205" i="1" s="1"/>
  <c r="F205" i="1"/>
  <c r="P204" i="1"/>
  <c r="L204" i="1"/>
  <c r="F204" i="1"/>
  <c r="E204" i="1"/>
  <c r="P203" i="1"/>
  <c r="L203" i="1"/>
  <c r="F203" i="1"/>
  <c r="E203" i="1"/>
  <c r="P202" i="1"/>
  <c r="L202" i="1"/>
  <c r="G202" i="1"/>
  <c r="F202" i="1"/>
  <c r="E202" i="1"/>
  <c r="X201" i="1"/>
  <c r="W201" i="1"/>
  <c r="V201" i="1"/>
  <c r="V200" i="1" s="1"/>
  <c r="V199" i="1" s="1"/>
  <c r="U201" i="1"/>
  <c r="U200" i="1" s="1"/>
  <c r="U199" i="1" s="1"/>
  <c r="T201" i="1"/>
  <c r="S201" i="1"/>
  <c r="S200" i="1" s="1"/>
  <c r="S199" i="1" s="1"/>
  <c r="R201" i="1"/>
  <c r="R200" i="1" s="1"/>
  <c r="R199" i="1" s="1"/>
  <c r="Q201" i="1"/>
  <c r="Q200" i="1" s="1"/>
  <c r="Q199" i="1" s="1"/>
  <c r="N201" i="1"/>
  <c r="N200" i="1" s="1"/>
  <c r="N199" i="1" s="1"/>
  <c r="M201" i="1"/>
  <c r="I201" i="1"/>
  <c r="I200" i="1" s="1"/>
  <c r="I199" i="1" s="1"/>
  <c r="H201" i="1"/>
  <c r="X200" i="1"/>
  <c r="X199" i="1" s="1"/>
  <c r="W200" i="1"/>
  <c r="W199" i="1" s="1"/>
  <c r="T200" i="1"/>
  <c r="T199" i="1" s="1"/>
  <c r="M200" i="1"/>
  <c r="M199" i="1" s="1"/>
  <c r="P198" i="1"/>
  <c r="L198" i="1"/>
  <c r="K198" i="1"/>
  <c r="G198" i="1"/>
  <c r="F198" i="1"/>
  <c r="P197" i="1"/>
  <c r="L197" i="1"/>
  <c r="G197" i="1"/>
  <c r="E197" i="1" s="1"/>
  <c r="F197" i="1"/>
  <c r="P196" i="1"/>
  <c r="L196" i="1"/>
  <c r="K196" i="1"/>
  <c r="E196" i="1" s="1"/>
  <c r="F196" i="1"/>
  <c r="P195" i="1"/>
  <c r="L195" i="1"/>
  <c r="K195" i="1"/>
  <c r="E195" i="1" s="1"/>
  <c r="F195" i="1"/>
  <c r="P194" i="1"/>
  <c r="L194" i="1"/>
  <c r="K194" i="1"/>
  <c r="F194" i="1"/>
  <c r="E194" i="1"/>
  <c r="P193" i="1"/>
  <c r="L193" i="1"/>
  <c r="K193" i="1"/>
  <c r="G193" i="1"/>
  <c r="F193" i="1"/>
  <c r="P192" i="1"/>
  <c r="L192" i="1"/>
  <c r="F192" i="1"/>
  <c r="E192" i="1"/>
  <c r="P191" i="1"/>
  <c r="L191" i="1"/>
  <c r="F191" i="1"/>
  <c r="E191" i="1"/>
  <c r="P190" i="1"/>
  <c r="M190" i="1"/>
  <c r="K190" i="1"/>
  <c r="G190" i="1"/>
  <c r="F190" i="1"/>
  <c r="P189" i="1"/>
  <c r="L189" i="1"/>
  <c r="F189" i="1"/>
  <c r="E189" i="1"/>
  <c r="P188" i="1"/>
  <c r="L188" i="1"/>
  <c r="F188" i="1"/>
  <c r="E188" i="1"/>
  <c r="P187" i="1"/>
  <c r="L187" i="1"/>
  <c r="F187" i="1"/>
  <c r="E187" i="1"/>
  <c r="P186" i="1"/>
  <c r="L186" i="1"/>
  <c r="F186" i="1"/>
  <c r="E186" i="1"/>
  <c r="P185" i="1"/>
  <c r="L185" i="1"/>
  <c r="G185" i="1"/>
  <c r="E185" i="1" s="1"/>
  <c r="F185" i="1"/>
  <c r="P184" i="1"/>
  <c r="L184" i="1"/>
  <c r="K184" i="1"/>
  <c r="H184" i="1"/>
  <c r="E184" i="1"/>
  <c r="P183" i="1"/>
  <c r="L183" i="1"/>
  <c r="F183" i="1"/>
  <c r="E183" i="1"/>
  <c r="X182" i="1"/>
  <c r="P182" i="1"/>
  <c r="L182" i="1"/>
  <c r="K182" i="1"/>
  <c r="G182" i="1"/>
  <c r="W181" i="1"/>
  <c r="W174" i="1" s="1"/>
  <c r="W170" i="1" s="1"/>
  <c r="V181" i="1"/>
  <c r="U181" i="1"/>
  <c r="U174" i="1" s="1"/>
  <c r="T181" i="1"/>
  <c r="S181" i="1"/>
  <c r="S174" i="1" s="1"/>
  <c r="S170" i="1" s="1"/>
  <c r="R181" i="1"/>
  <c r="Q181" i="1"/>
  <c r="Q174" i="1" s="1"/>
  <c r="Q170" i="1" s="1"/>
  <c r="O181" i="1"/>
  <c r="N181" i="1"/>
  <c r="N174" i="1" s="1"/>
  <c r="N170" i="1" s="1"/>
  <c r="P180" i="1"/>
  <c r="L180" i="1"/>
  <c r="G180" i="1"/>
  <c r="E180" i="1" s="1"/>
  <c r="F180" i="1"/>
  <c r="P179" i="1"/>
  <c r="L179" i="1"/>
  <c r="F179" i="1"/>
  <c r="E179" i="1"/>
  <c r="P178" i="1"/>
  <c r="L178" i="1"/>
  <c r="F178" i="1"/>
  <c r="E178" i="1"/>
  <c r="P177" i="1"/>
  <c r="L177" i="1"/>
  <c r="F177" i="1"/>
  <c r="E177" i="1"/>
  <c r="P176" i="1"/>
  <c r="L176" i="1"/>
  <c r="F176" i="1"/>
  <c r="E176" i="1"/>
  <c r="P175" i="1"/>
  <c r="L175" i="1"/>
  <c r="F175" i="1"/>
  <c r="E175" i="1"/>
  <c r="V174" i="1"/>
  <c r="V170" i="1" s="1"/>
  <c r="T174" i="1"/>
  <c r="T170" i="1" s="1"/>
  <c r="R174" i="1"/>
  <c r="R170" i="1" s="1"/>
  <c r="O174" i="1"/>
  <c r="O170" i="1" s="1"/>
  <c r="I174" i="1"/>
  <c r="P173" i="1"/>
  <c r="L173" i="1"/>
  <c r="F173" i="1"/>
  <c r="E173" i="1"/>
  <c r="P172" i="1"/>
  <c r="L172" i="1"/>
  <c r="F172" i="1"/>
  <c r="E172" i="1"/>
  <c r="P171" i="1"/>
  <c r="L171" i="1"/>
  <c r="K171" i="1"/>
  <c r="I171" i="1"/>
  <c r="I170" i="1" s="1"/>
  <c r="G171" i="1"/>
  <c r="E171" i="1" s="1"/>
  <c r="F171" i="1"/>
  <c r="U170" i="1"/>
  <c r="P169" i="1"/>
  <c r="L169" i="1"/>
  <c r="I169" i="1"/>
  <c r="G169" i="1"/>
  <c r="E169" i="1" s="1"/>
  <c r="F169" i="1"/>
  <c r="X168" i="1"/>
  <c r="P168" i="1"/>
  <c r="L168" i="1"/>
  <c r="F168" i="1"/>
  <c r="E168" i="1"/>
  <c r="X167" i="1"/>
  <c r="X163" i="1" s="1"/>
  <c r="X157" i="1" s="1"/>
  <c r="X147" i="1" s="1"/>
  <c r="P167" i="1"/>
  <c r="L167" i="1"/>
  <c r="K167" i="1"/>
  <c r="E167" i="1" s="1"/>
  <c r="F167" i="1"/>
  <c r="X166" i="1"/>
  <c r="P166" i="1"/>
  <c r="L166" i="1"/>
  <c r="K166" i="1"/>
  <c r="E166" i="1" s="1"/>
  <c r="F166" i="1"/>
  <c r="P165" i="1"/>
  <c r="L165" i="1"/>
  <c r="K165" i="1"/>
  <c r="K163" i="1" s="1"/>
  <c r="K157" i="1" s="1"/>
  <c r="G165" i="1"/>
  <c r="F165" i="1"/>
  <c r="P164" i="1"/>
  <c r="L164" i="1"/>
  <c r="F164" i="1"/>
  <c r="E164" i="1"/>
  <c r="W163" i="1"/>
  <c r="W157" i="1" s="1"/>
  <c r="W147" i="1" s="1"/>
  <c r="V163" i="1"/>
  <c r="V157" i="1" s="1"/>
  <c r="V147" i="1" s="1"/>
  <c r="U163" i="1"/>
  <c r="U157" i="1" s="1"/>
  <c r="T163" i="1"/>
  <c r="T157" i="1" s="1"/>
  <c r="T147" i="1" s="1"/>
  <c r="S163" i="1"/>
  <c r="S157" i="1" s="1"/>
  <c r="S147" i="1" s="1"/>
  <c r="R163" i="1"/>
  <c r="R157" i="1" s="1"/>
  <c r="R147" i="1" s="1"/>
  <c r="Q163" i="1"/>
  <c r="Q157" i="1" s="1"/>
  <c r="O163" i="1"/>
  <c r="N163" i="1"/>
  <c r="N157" i="1" s="1"/>
  <c r="N147" i="1" s="1"/>
  <c r="M163" i="1"/>
  <c r="M157" i="1" s="1"/>
  <c r="M147" i="1" s="1"/>
  <c r="I163" i="1"/>
  <c r="H163" i="1"/>
  <c r="H157" i="1" s="1"/>
  <c r="G163" i="1"/>
  <c r="P162" i="1"/>
  <c r="L162" i="1"/>
  <c r="G162" i="1"/>
  <c r="E162" i="1" s="1"/>
  <c r="F162" i="1"/>
  <c r="P161" i="1"/>
  <c r="L161" i="1"/>
  <c r="F161" i="1"/>
  <c r="E161" i="1"/>
  <c r="P160" i="1"/>
  <c r="L160" i="1"/>
  <c r="F160" i="1"/>
  <c r="E160" i="1"/>
  <c r="P159" i="1"/>
  <c r="L159" i="1"/>
  <c r="F159" i="1"/>
  <c r="E159" i="1"/>
  <c r="P158" i="1"/>
  <c r="L158" i="1"/>
  <c r="I158" i="1"/>
  <c r="I157" i="1" s="1"/>
  <c r="G158" i="1"/>
  <c r="E158" i="1" s="1"/>
  <c r="F158" i="1"/>
  <c r="O157" i="1"/>
  <c r="O147" i="1" s="1"/>
  <c r="J157" i="1"/>
  <c r="P156" i="1"/>
  <c r="L156" i="1"/>
  <c r="F156" i="1"/>
  <c r="E156" i="1"/>
  <c r="P155" i="1"/>
  <c r="L155" i="1"/>
  <c r="I155" i="1"/>
  <c r="H155" i="1"/>
  <c r="F155" i="1" s="1"/>
  <c r="E155" i="1"/>
  <c r="P154" i="1"/>
  <c r="L154" i="1"/>
  <c r="K154" i="1"/>
  <c r="G154" i="1"/>
  <c r="F154" i="1"/>
  <c r="P153" i="1"/>
  <c r="L153" i="1"/>
  <c r="F153" i="1"/>
  <c r="E153" i="1"/>
  <c r="P152" i="1"/>
  <c r="L152" i="1"/>
  <c r="J152" i="1"/>
  <c r="J147" i="1" s="1"/>
  <c r="I152" i="1"/>
  <c r="G152" i="1"/>
  <c r="E152" i="1" s="1"/>
  <c r="F152" i="1"/>
  <c r="P151" i="1"/>
  <c r="L151" i="1"/>
  <c r="I151" i="1"/>
  <c r="G151" i="1"/>
  <c r="F151" i="1"/>
  <c r="E151" i="1"/>
  <c r="P150" i="1"/>
  <c r="L150" i="1"/>
  <c r="F150" i="1"/>
  <c r="E150" i="1"/>
  <c r="P149" i="1"/>
  <c r="L149" i="1"/>
  <c r="I149" i="1"/>
  <c r="G149" i="1"/>
  <c r="E149" i="1" s="1"/>
  <c r="F149" i="1"/>
  <c r="P148" i="1"/>
  <c r="L148" i="1"/>
  <c r="F148" i="1"/>
  <c r="E148" i="1"/>
  <c r="U147" i="1"/>
  <c r="Q147" i="1"/>
  <c r="P146" i="1"/>
  <c r="L146" i="1"/>
  <c r="I146" i="1"/>
  <c r="G146" i="1"/>
  <c r="E146" i="1" s="1"/>
  <c r="F146" i="1"/>
  <c r="P145" i="1"/>
  <c r="L145" i="1"/>
  <c r="F145" i="1"/>
  <c r="E145" i="1"/>
  <c r="P144" i="1"/>
  <c r="L144" i="1"/>
  <c r="I144" i="1"/>
  <c r="G144" i="1"/>
  <c r="E144" i="1" s="1"/>
  <c r="F144" i="1"/>
  <c r="P143" i="1"/>
  <c r="L143" i="1"/>
  <c r="I143" i="1"/>
  <c r="G143" i="1"/>
  <c r="E143" i="1" s="1"/>
  <c r="F143" i="1"/>
  <c r="P142" i="1"/>
  <c r="L142" i="1"/>
  <c r="F142" i="1"/>
  <c r="E142" i="1"/>
  <c r="P141" i="1"/>
  <c r="L141" i="1"/>
  <c r="I141" i="1"/>
  <c r="G141" i="1"/>
  <c r="E141" i="1" s="1"/>
  <c r="F141" i="1"/>
  <c r="P140" i="1"/>
  <c r="L140" i="1"/>
  <c r="F140" i="1"/>
  <c r="E140" i="1"/>
  <c r="P139" i="1"/>
  <c r="L139" i="1"/>
  <c r="I139" i="1"/>
  <c r="G139" i="1"/>
  <c r="F139" i="1"/>
  <c r="E139" i="1"/>
  <c r="P138" i="1"/>
  <c r="L138" i="1"/>
  <c r="I138" i="1"/>
  <c r="G138" i="1"/>
  <c r="E138" i="1" s="1"/>
  <c r="F138" i="1"/>
  <c r="P137" i="1"/>
  <c r="L137" i="1"/>
  <c r="I137" i="1"/>
  <c r="G137" i="1"/>
  <c r="E137" i="1" s="1"/>
  <c r="F137" i="1"/>
  <c r="P136" i="1"/>
  <c r="P134" i="1" s="1"/>
  <c r="O136" i="1"/>
  <c r="K136" i="1"/>
  <c r="K134" i="1" s="1"/>
  <c r="G136" i="1"/>
  <c r="F136" i="1"/>
  <c r="P135" i="1"/>
  <c r="L135" i="1"/>
  <c r="F135" i="1"/>
  <c r="E135" i="1"/>
  <c r="X134" i="1"/>
  <c r="X124" i="1" s="1"/>
  <c r="X123" i="1" s="1"/>
  <c r="W134" i="1"/>
  <c r="V134" i="1"/>
  <c r="U134" i="1"/>
  <c r="U124" i="1" s="1"/>
  <c r="U123" i="1" s="1"/>
  <c r="T134" i="1"/>
  <c r="T124" i="1" s="1"/>
  <c r="T123" i="1" s="1"/>
  <c r="S134" i="1"/>
  <c r="R134" i="1"/>
  <c r="Q134" i="1"/>
  <c r="Q124" i="1" s="1"/>
  <c r="Q123" i="1" s="1"/>
  <c r="N134" i="1"/>
  <c r="M134" i="1"/>
  <c r="M124" i="1" s="1"/>
  <c r="M123" i="1" s="1"/>
  <c r="J134" i="1"/>
  <c r="J124" i="1" s="1"/>
  <c r="J123" i="1" s="1"/>
  <c r="I134" i="1"/>
  <c r="H134" i="1"/>
  <c r="H124" i="1" s="1"/>
  <c r="H123" i="1" s="1"/>
  <c r="G134" i="1"/>
  <c r="E134" i="1" s="1"/>
  <c r="P133" i="1"/>
  <c r="L133" i="1"/>
  <c r="F133" i="1"/>
  <c r="E133" i="1"/>
  <c r="P132" i="1"/>
  <c r="L132" i="1"/>
  <c r="F132" i="1"/>
  <c r="E132" i="1"/>
  <c r="P131" i="1"/>
  <c r="L131" i="1"/>
  <c r="F131" i="1"/>
  <c r="E131" i="1"/>
  <c r="P130" i="1"/>
  <c r="L130" i="1"/>
  <c r="F130" i="1"/>
  <c r="E130" i="1"/>
  <c r="P129" i="1"/>
  <c r="L129" i="1"/>
  <c r="F129" i="1"/>
  <c r="E129" i="1"/>
  <c r="P128" i="1"/>
  <c r="L128" i="1"/>
  <c r="F128" i="1"/>
  <c r="E128" i="1"/>
  <c r="P127" i="1"/>
  <c r="L127" i="1"/>
  <c r="F127" i="1"/>
  <c r="E127" i="1"/>
  <c r="P126" i="1"/>
  <c r="L126" i="1"/>
  <c r="K126" i="1"/>
  <c r="I126" i="1"/>
  <c r="G126" i="1"/>
  <c r="E126" i="1" s="1"/>
  <c r="F126" i="1"/>
  <c r="P125" i="1"/>
  <c r="L125" i="1"/>
  <c r="I125" i="1"/>
  <c r="I124" i="1" s="1"/>
  <c r="I123" i="1" s="1"/>
  <c r="G125" i="1"/>
  <c r="E125" i="1" s="1"/>
  <c r="F125" i="1"/>
  <c r="W124" i="1"/>
  <c r="W123" i="1" s="1"/>
  <c r="V124" i="1"/>
  <c r="S124" i="1"/>
  <c r="S123" i="1" s="1"/>
  <c r="R124" i="1"/>
  <c r="R123" i="1" s="1"/>
  <c r="N124" i="1"/>
  <c r="N123" i="1" s="1"/>
  <c r="K124" i="1"/>
  <c r="K123" i="1" s="1"/>
  <c r="V123" i="1"/>
  <c r="F123" i="1"/>
  <c r="P122" i="1"/>
  <c r="L122" i="1"/>
  <c r="I122" i="1"/>
  <c r="G122" i="1"/>
  <c r="E122" i="1" s="1"/>
  <c r="F122" i="1"/>
  <c r="P121" i="1"/>
  <c r="L121" i="1"/>
  <c r="I121" i="1"/>
  <c r="G121" i="1"/>
  <c r="E121" i="1" s="1"/>
  <c r="F121" i="1"/>
  <c r="P120" i="1"/>
  <c r="L120" i="1"/>
  <c r="I120" i="1"/>
  <c r="G120" i="1"/>
  <c r="E120" i="1" s="1"/>
  <c r="F120" i="1"/>
  <c r="P119" i="1"/>
  <c r="L119" i="1"/>
  <c r="I119" i="1"/>
  <c r="G119" i="1"/>
  <c r="E119" i="1" s="1"/>
  <c r="F119" i="1"/>
  <c r="P118" i="1"/>
  <c r="L118" i="1"/>
  <c r="I118" i="1"/>
  <c r="G118" i="1"/>
  <c r="F118" i="1"/>
  <c r="E118" i="1"/>
  <c r="P117" i="1"/>
  <c r="L117" i="1"/>
  <c r="G117" i="1"/>
  <c r="E117" i="1" s="1"/>
  <c r="F117" i="1"/>
  <c r="P116" i="1"/>
  <c r="N116" i="1"/>
  <c r="M116" i="1"/>
  <c r="L116" i="1" s="1"/>
  <c r="I116" i="1"/>
  <c r="G116" i="1"/>
  <c r="E116" i="1" s="1"/>
  <c r="F116" i="1"/>
  <c r="P115" i="1"/>
  <c r="L115" i="1"/>
  <c r="I115" i="1"/>
  <c r="H115" i="1"/>
  <c r="F115" i="1" s="1"/>
  <c r="G115" i="1"/>
  <c r="E115" i="1" s="1"/>
  <c r="P114" i="1"/>
  <c r="L114" i="1"/>
  <c r="I114" i="1"/>
  <c r="G114" i="1"/>
  <c r="F114" i="1"/>
  <c r="E114" i="1"/>
  <c r="P113" i="1"/>
  <c r="L113" i="1"/>
  <c r="I113" i="1"/>
  <c r="G113" i="1"/>
  <c r="E113" i="1" s="1"/>
  <c r="F113" i="1"/>
  <c r="P112" i="1"/>
  <c r="N112" i="1"/>
  <c r="N88" i="1" s="1"/>
  <c r="M112" i="1"/>
  <c r="L112" i="1" s="1"/>
  <c r="I112" i="1"/>
  <c r="G112" i="1"/>
  <c r="E112" i="1" s="1"/>
  <c r="F112" i="1"/>
  <c r="P111" i="1"/>
  <c r="L111" i="1"/>
  <c r="F111" i="1"/>
  <c r="E111" i="1"/>
  <c r="P110" i="1"/>
  <c r="L110" i="1"/>
  <c r="H110" i="1"/>
  <c r="F110" i="1" s="1"/>
  <c r="E110" i="1"/>
  <c r="P109" i="1"/>
  <c r="O109" i="1"/>
  <c r="O106" i="1" s="1"/>
  <c r="K109" i="1"/>
  <c r="K106" i="1" s="1"/>
  <c r="G109" i="1"/>
  <c r="F109" i="1"/>
  <c r="P108" i="1"/>
  <c r="L108" i="1"/>
  <c r="F108" i="1"/>
  <c r="E108" i="1"/>
  <c r="P107" i="1"/>
  <c r="P106" i="1" s="1"/>
  <c r="L107" i="1"/>
  <c r="G107" i="1"/>
  <c r="E107" i="1" s="1"/>
  <c r="F107" i="1"/>
  <c r="X106" i="1"/>
  <c r="W106" i="1"/>
  <c r="V106" i="1"/>
  <c r="U106" i="1"/>
  <c r="T106" i="1"/>
  <c r="S106" i="1"/>
  <c r="R106" i="1"/>
  <c r="Q106" i="1"/>
  <c r="N106" i="1"/>
  <c r="M106" i="1"/>
  <c r="J106" i="1"/>
  <c r="I106" i="1"/>
  <c r="I96" i="1" s="1"/>
  <c r="P105" i="1"/>
  <c r="L105" i="1"/>
  <c r="F105" i="1"/>
  <c r="E105" i="1"/>
  <c r="P104" i="1"/>
  <c r="L104" i="1"/>
  <c r="F104" i="1"/>
  <c r="E104" i="1"/>
  <c r="P103" i="1"/>
  <c r="L103" i="1"/>
  <c r="F103" i="1"/>
  <c r="E103" i="1"/>
  <c r="P102" i="1"/>
  <c r="L102" i="1"/>
  <c r="G102" i="1"/>
  <c r="E102" i="1" s="1"/>
  <c r="F102" i="1"/>
  <c r="P101" i="1"/>
  <c r="L101" i="1"/>
  <c r="G101" i="1"/>
  <c r="E101" i="1" s="1"/>
  <c r="F101" i="1"/>
  <c r="P100" i="1"/>
  <c r="L100" i="1"/>
  <c r="F100" i="1"/>
  <c r="E100" i="1"/>
  <c r="P99" i="1"/>
  <c r="L99" i="1"/>
  <c r="H99" i="1"/>
  <c r="F99" i="1" s="1"/>
  <c r="E99" i="1"/>
  <c r="P98" i="1"/>
  <c r="L98" i="1"/>
  <c r="F98" i="1"/>
  <c r="E98" i="1"/>
  <c r="P97" i="1"/>
  <c r="L97" i="1"/>
  <c r="I97" i="1"/>
  <c r="G97" i="1"/>
  <c r="F97" i="1"/>
  <c r="E97" i="1"/>
  <c r="P96" i="1"/>
  <c r="L96" i="1"/>
  <c r="K96" i="1"/>
  <c r="J96" i="1"/>
  <c r="J88" i="1" s="1"/>
  <c r="P95" i="1"/>
  <c r="L95" i="1"/>
  <c r="I95" i="1"/>
  <c r="G95" i="1"/>
  <c r="E95" i="1" s="1"/>
  <c r="F95" i="1"/>
  <c r="P94" i="1"/>
  <c r="L94" i="1"/>
  <c r="F94" i="1"/>
  <c r="E94" i="1"/>
  <c r="P93" i="1"/>
  <c r="L93" i="1"/>
  <c r="I93" i="1"/>
  <c r="G93" i="1"/>
  <c r="E93" i="1" s="1"/>
  <c r="F93" i="1"/>
  <c r="P92" i="1"/>
  <c r="L92" i="1"/>
  <c r="I92" i="1"/>
  <c r="G92" i="1"/>
  <c r="F92" i="1"/>
  <c r="E92" i="1"/>
  <c r="P91" i="1"/>
  <c r="L91" i="1"/>
  <c r="F91" i="1"/>
  <c r="E91" i="1"/>
  <c r="P90" i="1"/>
  <c r="L90" i="1"/>
  <c r="F90" i="1"/>
  <c r="E90" i="1"/>
  <c r="P89" i="1"/>
  <c r="L89" i="1"/>
  <c r="I89" i="1"/>
  <c r="H89" i="1"/>
  <c r="F89" i="1" s="1"/>
  <c r="G89" i="1"/>
  <c r="E89" i="1" s="1"/>
  <c r="X88" i="1"/>
  <c r="W88" i="1"/>
  <c r="V88" i="1"/>
  <c r="U88" i="1"/>
  <c r="T88" i="1"/>
  <c r="S88" i="1"/>
  <c r="R88" i="1"/>
  <c r="Q88" i="1"/>
  <c r="O88" i="1"/>
  <c r="M88" i="1"/>
  <c r="K88" i="1"/>
  <c r="P87" i="1"/>
  <c r="L87" i="1"/>
  <c r="K87" i="1"/>
  <c r="E87" i="1" s="1"/>
  <c r="F87" i="1"/>
  <c r="P86" i="1"/>
  <c r="L86" i="1"/>
  <c r="G86" i="1"/>
  <c r="E86" i="1" s="1"/>
  <c r="F86" i="1"/>
  <c r="X85" i="1"/>
  <c r="F85" i="1" s="1"/>
  <c r="P85" i="1"/>
  <c r="L85" i="1"/>
  <c r="E85" i="1"/>
  <c r="W84" i="1"/>
  <c r="W69" i="1" s="1"/>
  <c r="W65" i="1" s="1"/>
  <c r="V84" i="1"/>
  <c r="V69" i="1" s="1"/>
  <c r="V65" i="1" s="1"/>
  <c r="U84" i="1"/>
  <c r="U69" i="1" s="1"/>
  <c r="U65" i="1" s="1"/>
  <c r="T84" i="1"/>
  <c r="S84" i="1"/>
  <c r="S69" i="1" s="1"/>
  <c r="S65" i="1" s="1"/>
  <c r="R84" i="1"/>
  <c r="R69" i="1" s="1"/>
  <c r="R65" i="1" s="1"/>
  <c r="Q84" i="1"/>
  <c r="Q69" i="1" s="1"/>
  <c r="Q65" i="1" s="1"/>
  <c r="O84" i="1"/>
  <c r="O69" i="1" s="1"/>
  <c r="O65" i="1" s="1"/>
  <c r="N84" i="1"/>
  <c r="N69" i="1" s="1"/>
  <c r="M84" i="1"/>
  <c r="M69" i="1" s="1"/>
  <c r="M65" i="1" s="1"/>
  <c r="K84" i="1"/>
  <c r="K69" i="1" s="1"/>
  <c r="I84" i="1"/>
  <c r="I69" i="1" s="1"/>
  <c r="H84" i="1"/>
  <c r="G84" i="1"/>
  <c r="P83" i="1"/>
  <c r="L83" i="1"/>
  <c r="F83" i="1"/>
  <c r="E83" i="1"/>
  <c r="P82" i="1"/>
  <c r="L82" i="1"/>
  <c r="F82" i="1"/>
  <c r="E82" i="1"/>
  <c r="P81" i="1"/>
  <c r="L81" i="1"/>
  <c r="F81" i="1"/>
  <c r="E81" i="1"/>
  <c r="P80" i="1"/>
  <c r="L80" i="1"/>
  <c r="F80" i="1"/>
  <c r="E80" i="1"/>
  <c r="P79" i="1"/>
  <c r="L79" i="1"/>
  <c r="F79" i="1"/>
  <c r="E79" i="1"/>
  <c r="P78" i="1"/>
  <c r="L78" i="1"/>
  <c r="F78" i="1"/>
  <c r="E78" i="1"/>
  <c r="P77" i="1"/>
  <c r="L77" i="1"/>
  <c r="F77" i="1"/>
  <c r="E77" i="1"/>
  <c r="P76" i="1"/>
  <c r="L76" i="1"/>
  <c r="F76" i="1"/>
  <c r="E76" i="1"/>
  <c r="P75" i="1"/>
  <c r="L75" i="1"/>
  <c r="F75" i="1"/>
  <c r="E75" i="1"/>
  <c r="P74" i="1"/>
  <c r="L74" i="1"/>
  <c r="H74" i="1"/>
  <c r="F74" i="1" s="1"/>
  <c r="E74" i="1"/>
  <c r="P73" i="1"/>
  <c r="L73" i="1"/>
  <c r="F73" i="1"/>
  <c r="E73" i="1"/>
  <c r="P72" i="1"/>
  <c r="L72" i="1"/>
  <c r="F72" i="1"/>
  <c r="E72" i="1"/>
  <c r="P71" i="1"/>
  <c r="L71" i="1"/>
  <c r="G71" i="1"/>
  <c r="F71" i="1"/>
  <c r="E71" i="1"/>
  <c r="P70" i="1"/>
  <c r="L70" i="1"/>
  <c r="F70" i="1"/>
  <c r="E70" i="1"/>
  <c r="T69" i="1"/>
  <c r="T65" i="1" s="1"/>
  <c r="G69" i="1"/>
  <c r="P68" i="1"/>
  <c r="L68" i="1"/>
  <c r="F68" i="1"/>
  <c r="E68" i="1"/>
  <c r="P67" i="1"/>
  <c r="L67" i="1"/>
  <c r="F67" i="1"/>
  <c r="E67" i="1"/>
  <c r="P66" i="1"/>
  <c r="L66" i="1"/>
  <c r="K66" i="1"/>
  <c r="I66" i="1"/>
  <c r="G66" i="1"/>
  <c r="E66" i="1" s="1"/>
  <c r="F66" i="1"/>
  <c r="N65" i="1"/>
  <c r="J65" i="1"/>
  <c r="P64" i="1"/>
  <c r="L64" i="1"/>
  <c r="F64" i="1"/>
  <c r="E64" i="1"/>
  <c r="P63" i="1"/>
  <c r="L63" i="1"/>
  <c r="F63" i="1"/>
  <c r="E63" i="1"/>
  <c r="P62" i="1"/>
  <c r="L62" i="1"/>
  <c r="F62" i="1"/>
  <c r="E62" i="1"/>
  <c r="P61" i="1"/>
  <c r="L61" i="1"/>
  <c r="F61" i="1"/>
  <c r="E61" i="1"/>
  <c r="P60" i="1"/>
  <c r="L60" i="1"/>
  <c r="F60" i="1"/>
  <c r="E60" i="1"/>
  <c r="P59" i="1"/>
  <c r="L59" i="1"/>
  <c r="F59" i="1"/>
  <c r="E59" i="1"/>
  <c r="P58" i="1"/>
  <c r="L58" i="1"/>
  <c r="K58" i="1"/>
  <c r="G58" i="1"/>
  <c r="F58" i="1"/>
  <c r="P57" i="1"/>
  <c r="L57" i="1"/>
  <c r="K57" i="1"/>
  <c r="G57" i="1"/>
  <c r="F57" i="1"/>
  <c r="P56" i="1"/>
  <c r="L56" i="1"/>
  <c r="F56" i="1"/>
  <c r="E56" i="1"/>
  <c r="P55" i="1"/>
  <c r="O55" i="1"/>
  <c r="O53" i="1" s="1"/>
  <c r="O49" i="1" s="1"/>
  <c r="K55" i="1"/>
  <c r="E55" i="1" s="1"/>
  <c r="G55" i="1"/>
  <c r="F55" i="1"/>
  <c r="X54" i="1"/>
  <c r="X53" i="1" s="1"/>
  <c r="P54" i="1"/>
  <c r="L54" i="1"/>
  <c r="E54" i="1"/>
  <c r="W53" i="1"/>
  <c r="V53" i="1"/>
  <c r="V49" i="1" s="1"/>
  <c r="V13" i="1" s="1"/>
  <c r="U53" i="1"/>
  <c r="U49" i="1" s="1"/>
  <c r="U13" i="1" s="1"/>
  <c r="T53" i="1"/>
  <c r="S53" i="1"/>
  <c r="R53" i="1"/>
  <c r="R49" i="1" s="1"/>
  <c r="R13" i="1" s="1"/>
  <c r="Q53" i="1"/>
  <c r="Q49" i="1" s="1"/>
  <c r="Q13" i="1" s="1"/>
  <c r="N53" i="1"/>
  <c r="N49" i="1" s="1"/>
  <c r="M53" i="1"/>
  <c r="M49" i="1" s="1"/>
  <c r="I53" i="1"/>
  <c r="H53" i="1"/>
  <c r="P52" i="1"/>
  <c r="L52" i="1"/>
  <c r="F52" i="1"/>
  <c r="E52" i="1"/>
  <c r="P51" i="1"/>
  <c r="L51" i="1"/>
  <c r="F51" i="1"/>
  <c r="E51" i="1"/>
  <c r="P50" i="1"/>
  <c r="L50" i="1"/>
  <c r="I50" i="1"/>
  <c r="I49" i="1" s="1"/>
  <c r="G50" i="1"/>
  <c r="E50" i="1" s="1"/>
  <c r="F50" i="1"/>
  <c r="W49" i="1"/>
  <c r="W13" i="1" s="1"/>
  <c r="T49" i="1"/>
  <c r="T13" i="1" s="1"/>
  <c r="S49" i="1"/>
  <c r="J49" i="1"/>
  <c r="J13" i="1" s="1"/>
  <c r="H49" i="1"/>
  <c r="P48" i="1"/>
  <c r="L48" i="1"/>
  <c r="I48" i="1"/>
  <c r="G48" i="1"/>
  <c r="E48" i="1" s="1"/>
  <c r="F48" i="1"/>
  <c r="P47" i="1"/>
  <c r="L47" i="1"/>
  <c r="I47" i="1"/>
  <c r="F47" i="1"/>
  <c r="E47" i="1"/>
  <c r="P46" i="1"/>
  <c r="L46" i="1"/>
  <c r="I46" i="1"/>
  <c r="F46" i="1"/>
  <c r="E46" i="1"/>
  <c r="P45" i="1"/>
  <c r="L45" i="1"/>
  <c r="I45" i="1"/>
  <c r="G45" i="1"/>
  <c r="E45" i="1" s="1"/>
  <c r="F45" i="1"/>
  <c r="P44" i="1"/>
  <c r="L44" i="1"/>
  <c r="I44" i="1"/>
  <c r="G44" i="1"/>
  <c r="E44" i="1" s="1"/>
  <c r="F44" i="1"/>
  <c r="P43" i="1"/>
  <c r="L43" i="1"/>
  <c r="I43" i="1"/>
  <c r="G43" i="1"/>
  <c r="E43" i="1" s="1"/>
  <c r="F43" i="1"/>
  <c r="P42" i="1"/>
  <c r="L42" i="1"/>
  <c r="I42" i="1"/>
  <c r="G42" i="1"/>
  <c r="E42" i="1" s="1"/>
  <c r="F42" i="1"/>
  <c r="P41" i="1"/>
  <c r="L41" i="1"/>
  <c r="I41" i="1"/>
  <c r="G41" i="1"/>
  <c r="F41" i="1"/>
  <c r="E41" i="1"/>
  <c r="P40" i="1"/>
  <c r="L40" i="1"/>
  <c r="I40" i="1"/>
  <c r="G40" i="1"/>
  <c r="E40" i="1" s="1"/>
  <c r="F40" i="1"/>
  <c r="P39" i="1"/>
  <c r="L39" i="1"/>
  <c r="I39" i="1"/>
  <c r="G39" i="1"/>
  <c r="F39" i="1"/>
  <c r="E39" i="1"/>
  <c r="P38" i="1"/>
  <c r="L38" i="1"/>
  <c r="I38" i="1"/>
  <c r="G38" i="1"/>
  <c r="E38" i="1" s="1"/>
  <c r="F38" i="1"/>
  <c r="P37" i="1"/>
  <c r="L37" i="1"/>
  <c r="I37" i="1"/>
  <c r="G37" i="1"/>
  <c r="E37" i="1" s="1"/>
  <c r="F37" i="1"/>
  <c r="P36" i="1"/>
  <c r="L36" i="1"/>
  <c r="I36" i="1"/>
  <c r="G36" i="1"/>
  <c r="E36" i="1" s="1"/>
  <c r="F36" i="1"/>
  <c r="P35" i="1"/>
  <c r="L35" i="1"/>
  <c r="I35" i="1"/>
  <c r="G35" i="1"/>
  <c r="E35" i="1" s="1"/>
  <c r="F35" i="1"/>
  <c r="P34" i="1"/>
  <c r="L34" i="1"/>
  <c r="I34" i="1"/>
  <c r="G34" i="1"/>
  <c r="E34" i="1" s="1"/>
  <c r="F34" i="1"/>
  <c r="P33" i="1"/>
  <c r="L33" i="1"/>
  <c r="I33" i="1"/>
  <c r="G33" i="1"/>
  <c r="E33" i="1" s="1"/>
  <c r="F33" i="1"/>
  <c r="P32" i="1"/>
  <c r="L32" i="1"/>
  <c r="I32" i="1"/>
  <c r="G32" i="1"/>
  <c r="E32" i="1" s="1"/>
  <c r="F32" i="1"/>
  <c r="P31" i="1"/>
  <c r="L31" i="1"/>
  <c r="I31" i="1"/>
  <c r="G31" i="1"/>
  <c r="E31" i="1" s="1"/>
  <c r="F31" i="1"/>
  <c r="P30" i="1"/>
  <c r="L30" i="1"/>
  <c r="I30" i="1"/>
  <c r="G30" i="1"/>
  <c r="E30" i="1" s="1"/>
  <c r="F30" i="1"/>
  <c r="P29" i="1"/>
  <c r="L29" i="1"/>
  <c r="I29" i="1"/>
  <c r="G29" i="1"/>
  <c r="E29" i="1" s="1"/>
  <c r="F29" i="1"/>
  <c r="X28" i="1"/>
  <c r="F28" i="1" s="1"/>
  <c r="P28" i="1"/>
  <c r="O28" i="1"/>
  <c r="N28" i="1"/>
  <c r="M28" i="1"/>
  <c r="L28" i="1" s="1"/>
  <c r="K28" i="1"/>
  <c r="I28" i="1"/>
  <c r="G28" i="1"/>
  <c r="P27" i="1"/>
  <c r="N27" i="1"/>
  <c r="L27" i="1"/>
  <c r="I27" i="1"/>
  <c r="G27" i="1"/>
  <c r="E27" i="1" s="1"/>
  <c r="F27" i="1"/>
  <c r="P26" i="1"/>
  <c r="L26" i="1"/>
  <c r="I26" i="1"/>
  <c r="G26" i="1"/>
  <c r="E26" i="1" s="1"/>
  <c r="F26" i="1"/>
  <c r="P25" i="1"/>
  <c r="L25" i="1"/>
  <c r="I25" i="1"/>
  <c r="G25" i="1"/>
  <c r="E25" i="1" s="1"/>
  <c r="F25" i="1"/>
  <c r="P24" i="1"/>
  <c r="L24" i="1"/>
  <c r="I24" i="1"/>
  <c r="G24" i="1"/>
  <c r="E24" i="1" s="1"/>
  <c r="F24" i="1"/>
  <c r="P23" i="1"/>
  <c r="L23" i="1"/>
  <c r="K23" i="1"/>
  <c r="I23" i="1"/>
  <c r="G23" i="1"/>
  <c r="F23" i="1"/>
  <c r="P22" i="1"/>
  <c r="L22" i="1"/>
  <c r="I22" i="1"/>
  <c r="G22" i="1"/>
  <c r="E22" i="1" s="1"/>
  <c r="F22" i="1"/>
  <c r="P21" i="1"/>
  <c r="L21" i="1"/>
  <c r="I21" i="1"/>
  <c r="G21" i="1"/>
  <c r="E21" i="1" s="1"/>
  <c r="F21" i="1"/>
  <c r="P20" i="1"/>
  <c r="L20" i="1"/>
  <c r="I20" i="1"/>
  <c r="F20" i="1"/>
  <c r="E20" i="1"/>
  <c r="P19" i="1"/>
  <c r="L19" i="1"/>
  <c r="I19" i="1"/>
  <c r="G19" i="1"/>
  <c r="E19" i="1" s="1"/>
  <c r="F19" i="1"/>
  <c r="P18" i="1"/>
  <c r="N18" i="1"/>
  <c r="M18" i="1"/>
  <c r="I18" i="1"/>
  <c r="G18" i="1"/>
  <c r="E18" i="1" s="1"/>
  <c r="F18" i="1"/>
  <c r="P17" i="1"/>
  <c r="L17" i="1"/>
  <c r="I17" i="1"/>
  <c r="G17" i="1"/>
  <c r="E17" i="1" s="1"/>
  <c r="F17" i="1"/>
  <c r="P16" i="1"/>
  <c r="L16" i="1"/>
  <c r="I16" i="1"/>
  <c r="F16" i="1"/>
  <c r="E16" i="1"/>
  <c r="P15" i="1"/>
  <c r="L15" i="1"/>
  <c r="I15" i="1"/>
  <c r="G15" i="1"/>
  <c r="E15" i="1" s="1"/>
  <c r="F15" i="1"/>
  <c r="P14" i="1"/>
  <c r="L14" i="1"/>
  <c r="F14" i="1"/>
  <c r="E14" i="1"/>
  <c r="S13" i="1"/>
  <c r="H13" i="1"/>
  <c r="E55" i="2" l="1"/>
  <c r="G50" i="2"/>
  <c r="E50" i="2" s="1"/>
  <c r="O13" i="1"/>
  <c r="K65" i="1"/>
  <c r="I88" i="1"/>
  <c r="F124" i="1"/>
  <c r="F182" i="1"/>
  <c r="X181" i="1"/>
  <c r="X174" i="1" s="1"/>
  <c r="X170" i="1" s="1"/>
  <c r="G278" i="1"/>
  <c r="E279" i="1"/>
  <c r="M41" i="2"/>
  <c r="L39" i="3"/>
  <c r="F201" i="1"/>
  <c r="H200" i="1"/>
  <c r="E21" i="2"/>
  <c r="K12" i="2"/>
  <c r="E269" i="1"/>
  <c r="F280" i="1"/>
  <c r="H279" i="1"/>
  <c r="F279" i="1" s="1"/>
  <c r="E283" i="1"/>
  <c r="G282" i="1"/>
  <c r="I63" i="2"/>
  <c r="I67" i="2" s="1"/>
  <c r="E43" i="3"/>
  <c r="G39" i="3"/>
  <c r="E39" i="3" s="1"/>
  <c r="L49" i="3"/>
  <c r="M48" i="3"/>
  <c r="G124" i="1"/>
  <c r="E124" i="1" s="1"/>
  <c r="E163" i="1"/>
  <c r="F184" i="1"/>
  <c r="H181" i="1"/>
  <c r="H174" i="1" s="1"/>
  <c r="E223" i="1"/>
  <c r="M41" i="4"/>
  <c r="I41" i="4"/>
  <c r="F15" i="5"/>
  <c r="H13" i="5"/>
  <c r="K181" i="1"/>
  <c r="K174" i="1" s="1"/>
  <c r="O63" i="2"/>
  <c r="E29" i="2"/>
  <c r="N61" i="3"/>
  <c r="F34" i="3"/>
  <c r="O46" i="4"/>
  <c r="E37" i="4"/>
  <c r="T73" i="5"/>
  <c r="I73" i="5"/>
  <c r="I84" i="5" s="1"/>
  <c r="N73" i="5"/>
  <c r="S13" i="5"/>
  <c r="E27" i="5"/>
  <c r="F35" i="5"/>
  <c r="F39" i="5"/>
  <c r="K39" i="5"/>
  <c r="K38" i="5" s="1"/>
  <c r="K57" i="5"/>
  <c r="K56" i="5" s="1"/>
  <c r="H14" i="6"/>
  <c r="E102" i="6"/>
  <c r="L13" i="8"/>
  <c r="P12" i="8"/>
  <c r="E16" i="8"/>
  <c r="N12" i="8"/>
  <c r="S12" i="8"/>
  <c r="G21" i="8"/>
  <c r="E21" i="8" s="1"/>
  <c r="F27" i="8"/>
  <c r="I29" i="8"/>
  <c r="F26" i="9"/>
  <c r="E31" i="9"/>
  <c r="E32" i="9"/>
  <c r="E33" i="9"/>
  <c r="F33" i="9"/>
  <c r="O39" i="9"/>
  <c r="O38" i="9" s="1"/>
  <c r="U73" i="5"/>
  <c r="J73" i="5"/>
  <c r="E46" i="5"/>
  <c r="G71" i="5"/>
  <c r="L24" i="6"/>
  <c r="L23" i="6" s="1"/>
  <c r="F14" i="7"/>
  <c r="H12" i="8"/>
  <c r="F12" i="8" s="1"/>
  <c r="I12" i="8"/>
  <c r="I44" i="8" s="1"/>
  <c r="O12" i="8"/>
  <c r="H21" i="8"/>
  <c r="F21" i="8" s="1"/>
  <c r="F30" i="8"/>
  <c r="E35" i="8"/>
  <c r="L33" i="8"/>
  <c r="L32" i="8" s="1"/>
  <c r="E35" i="9"/>
  <c r="F35" i="9"/>
  <c r="E41" i="9"/>
  <c r="K147" i="1"/>
  <c r="E190" i="1"/>
  <c r="E198" i="1"/>
  <c r="E267" i="1"/>
  <c r="E275" i="1"/>
  <c r="E280" i="1"/>
  <c r="P289" i="1"/>
  <c r="P286" i="1" s="1"/>
  <c r="Q63" i="2"/>
  <c r="P61" i="3"/>
  <c r="E43" i="4"/>
  <c r="F26" i="5"/>
  <c r="E36" i="5"/>
  <c r="E40" i="5"/>
  <c r="F45" i="5"/>
  <c r="P24" i="6"/>
  <c r="P23" i="6" s="1"/>
  <c r="P116" i="6" s="1"/>
  <c r="I17" i="9"/>
  <c r="E29" i="9"/>
  <c r="E34" i="9"/>
  <c r="S321" i="1"/>
  <c r="Q321" i="1"/>
  <c r="U321" i="1"/>
  <c r="F54" i="1"/>
  <c r="L55" i="1"/>
  <c r="L53" i="1" s="1"/>
  <c r="L49" i="1" s="1"/>
  <c r="E57" i="1"/>
  <c r="I65" i="1"/>
  <c r="X84" i="1"/>
  <c r="L88" i="1"/>
  <c r="P88" i="1"/>
  <c r="H106" i="1"/>
  <c r="L109" i="1"/>
  <c r="L106" i="1" s="1"/>
  <c r="I147" i="1"/>
  <c r="X254" i="1"/>
  <c r="L258" i="1"/>
  <c r="L255" i="1" s="1"/>
  <c r="H278" i="1"/>
  <c r="F278" i="1" s="1"/>
  <c r="F286" i="1"/>
  <c r="J63" i="2"/>
  <c r="M14" i="3"/>
  <c r="Q61" i="3"/>
  <c r="R73" i="5"/>
  <c r="O13" i="5"/>
  <c r="F32" i="8"/>
  <c r="H29" i="8"/>
  <c r="F29" i="8" s="1"/>
  <c r="G157" i="1"/>
  <c r="G147" i="1" s="1"/>
  <c r="E147" i="1" s="1"/>
  <c r="L163" i="1"/>
  <c r="L157" i="1" s="1"/>
  <c r="E282" i="1"/>
  <c r="K63" i="2"/>
  <c r="K67" i="2" s="1"/>
  <c r="G12" i="9"/>
  <c r="N13" i="1"/>
  <c r="E23" i="1"/>
  <c r="E28" i="1"/>
  <c r="E84" i="1"/>
  <c r="P84" i="1"/>
  <c r="P69" i="1" s="1"/>
  <c r="P65" i="1" s="1"/>
  <c r="G106" i="1"/>
  <c r="E106" i="1" s="1"/>
  <c r="E136" i="1"/>
  <c r="E193" i="1"/>
  <c r="P181" i="1"/>
  <c r="P174" i="1" s="1"/>
  <c r="P170" i="1" s="1"/>
  <c r="P255" i="1"/>
  <c r="E271" i="1"/>
  <c r="M286" i="1"/>
  <c r="L41" i="2"/>
  <c r="H50" i="2"/>
  <c r="F50" i="2" s="1"/>
  <c r="J61" i="3"/>
  <c r="O61" i="3"/>
  <c r="G54" i="3"/>
  <c r="E54" i="3" s="1"/>
  <c r="W321" i="1"/>
  <c r="P53" i="1"/>
  <c r="P49" i="1" s="1"/>
  <c r="P13" i="1" s="1"/>
  <c r="L84" i="1"/>
  <c r="L69" i="1" s="1"/>
  <c r="L65" i="1" s="1"/>
  <c r="E278" i="1"/>
  <c r="L286" i="1"/>
  <c r="N286" i="1"/>
  <c r="E299" i="1"/>
  <c r="K61" i="3"/>
  <c r="K65" i="3" s="1"/>
  <c r="G36" i="3"/>
  <c r="E36" i="3" s="1"/>
  <c r="K15" i="5"/>
  <c r="K13" i="5" s="1"/>
  <c r="E19" i="5"/>
  <c r="W34" i="5"/>
  <c r="K45" i="5"/>
  <c r="K44" i="5" s="1"/>
  <c r="O65" i="5"/>
  <c r="O64" i="5" s="1"/>
  <c r="I24" i="6"/>
  <c r="R12" i="8"/>
  <c r="R44" i="8" s="1"/>
  <c r="M29" i="8"/>
  <c r="Q29" i="8"/>
  <c r="L38" i="8"/>
  <c r="L37" i="8" s="1"/>
  <c r="L29" i="8" s="1"/>
  <c r="L44" i="8" s="1"/>
  <c r="H38" i="5"/>
  <c r="F38" i="5" s="1"/>
  <c r="G45" i="5"/>
  <c r="F65" i="5"/>
  <c r="F43" i="6"/>
  <c r="F23" i="6" s="1"/>
  <c r="I60" i="6"/>
  <c r="H13" i="7"/>
  <c r="H49" i="7" s="1"/>
  <c r="J12" i="8"/>
  <c r="J29" i="8"/>
  <c r="G37" i="8"/>
  <c r="E37" i="8" s="1"/>
  <c r="F38" i="8"/>
  <c r="P38" i="8"/>
  <c r="P37" i="8" s="1"/>
  <c r="K13" i="9"/>
  <c r="K12" i="9" s="1"/>
  <c r="E12" i="9" s="1"/>
  <c r="E16" i="9"/>
  <c r="L13" i="9"/>
  <c r="L12" i="9" s="1"/>
  <c r="Q73" i="5"/>
  <c r="V73" i="5"/>
  <c r="K81" i="5"/>
  <c r="K21" i="5"/>
  <c r="K20" i="5" s="1"/>
  <c r="E20" i="5" s="1"/>
  <c r="O45" i="5"/>
  <c r="O44" i="5" s="1"/>
  <c r="E28" i="6"/>
  <c r="E31" i="6"/>
  <c r="E43" i="6"/>
  <c r="E61" i="6"/>
  <c r="J78" i="6"/>
  <c r="J116" i="6" s="1"/>
  <c r="I78" i="6"/>
  <c r="H78" i="6"/>
  <c r="F78" i="6" s="1"/>
  <c r="M12" i="8"/>
  <c r="Q12" i="8"/>
  <c r="Q44" i="8" s="1"/>
  <c r="O44" i="8"/>
  <c r="F33" i="8"/>
  <c r="F37" i="8"/>
  <c r="S29" i="8"/>
  <c r="S44" i="8" s="1"/>
  <c r="G17" i="9"/>
  <c r="E17" i="9" s="1"/>
  <c r="E18" i="9"/>
  <c r="G26" i="9"/>
  <c r="E26" i="9" s="1"/>
  <c r="F27" i="9"/>
  <c r="H38" i="9"/>
  <c r="P39" i="9"/>
  <c r="P38" i="9" s="1"/>
  <c r="F34" i="5"/>
  <c r="F57" i="5"/>
  <c r="I31" i="6"/>
  <c r="E57" i="6"/>
  <c r="E56" i="6" s="1"/>
  <c r="L78" i="6"/>
  <c r="L116" i="6" s="1"/>
  <c r="L14" i="7"/>
  <c r="L13" i="7" s="1"/>
  <c r="L49" i="7" s="1"/>
  <c r="I42" i="7"/>
  <c r="I14" i="7" s="1"/>
  <c r="I13" i="7" s="1"/>
  <c r="I49" i="7" s="1"/>
  <c r="I53" i="7" s="1"/>
  <c r="L12" i="8"/>
  <c r="K33" i="8"/>
  <c r="K32" i="8" s="1"/>
  <c r="K29" i="8" s="1"/>
  <c r="P33" i="8"/>
  <c r="P32" i="8" s="1"/>
  <c r="P29" i="8" s="1"/>
  <c r="P44" i="8" s="1"/>
  <c r="M49" i="9"/>
  <c r="F13" i="9"/>
  <c r="F17" i="9"/>
  <c r="J49" i="9"/>
  <c r="L32" i="9"/>
  <c r="L31" i="9" s="1"/>
  <c r="L49" i="9" s="1"/>
  <c r="E36" i="9"/>
  <c r="Q46" i="4"/>
  <c r="M13" i="4"/>
  <c r="M46" i="4" s="1"/>
  <c r="L41" i="4"/>
  <c r="F41" i="4"/>
  <c r="K13" i="4"/>
  <c r="K46" i="4" s="1"/>
  <c r="K50" i="4" s="1"/>
  <c r="I46" i="4"/>
  <c r="I50" i="4" s="1"/>
  <c r="H13" i="4"/>
  <c r="F13" i="4" s="1"/>
  <c r="E44" i="4"/>
  <c r="N49" i="9"/>
  <c r="O13" i="9"/>
  <c r="O12" i="9" s="1"/>
  <c r="I23" i="9"/>
  <c r="G23" i="9" s="1"/>
  <c r="E23" i="9" s="1"/>
  <c r="E28" i="9"/>
  <c r="P32" i="9"/>
  <c r="F12" i="9"/>
  <c r="K39" i="9"/>
  <c r="K38" i="9" s="1"/>
  <c r="E38" i="9" s="1"/>
  <c r="N44" i="8"/>
  <c r="M44" i="8"/>
  <c r="I50" i="8"/>
  <c r="I48" i="8"/>
  <c r="F26" i="8"/>
  <c r="T25" i="8"/>
  <c r="F25" i="8" s="1"/>
  <c r="E31" i="8"/>
  <c r="K26" i="8"/>
  <c r="K25" i="8" s="1"/>
  <c r="G15" i="8"/>
  <c r="F49" i="7"/>
  <c r="F13" i="7"/>
  <c r="G42" i="7"/>
  <c r="E42" i="7" s="1"/>
  <c r="E24" i="6"/>
  <c r="F14" i="6"/>
  <c r="H116" i="6"/>
  <c r="F116" i="6" s="1"/>
  <c r="K123" i="6"/>
  <c r="K120" i="6"/>
  <c r="G24" i="6"/>
  <c r="G23" i="6" s="1"/>
  <c r="G93" i="6"/>
  <c r="G78" i="6" s="1"/>
  <c r="E78" i="6" s="1"/>
  <c r="S73" i="5"/>
  <c r="G44" i="5"/>
  <c r="I86" i="5"/>
  <c r="F13" i="5"/>
  <c r="G15" i="5"/>
  <c r="H20" i="5"/>
  <c r="F20" i="5" s="1"/>
  <c r="G35" i="5"/>
  <c r="G39" i="5"/>
  <c r="H44" i="5"/>
  <c r="F44" i="5" s="1"/>
  <c r="G56" i="5"/>
  <c r="E56" i="5" s="1"/>
  <c r="W56" i="5"/>
  <c r="F56" i="5" s="1"/>
  <c r="G64" i="5"/>
  <c r="E64" i="5" s="1"/>
  <c r="W64" i="5"/>
  <c r="F64" i="5" s="1"/>
  <c r="P65" i="5"/>
  <c r="P64" i="5" s="1"/>
  <c r="P73" i="5" s="1"/>
  <c r="H70" i="5"/>
  <c r="F70" i="5" s="1"/>
  <c r="G26" i="5"/>
  <c r="E48" i="5"/>
  <c r="E53" i="5"/>
  <c r="L13" i="4"/>
  <c r="L46" i="4" s="1"/>
  <c r="E39" i="4"/>
  <c r="H46" i="4"/>
  <c r="G41" i="4"/>
  <c r="E41" i="4" s="1"/>
  <c r="G13" i="4"/>
  <c r="L14" i="3"/>
  <c r="L48" i="3"/>
  <c r="G14" i="3"/>
  <c r="M34" i="3"/>
  <c r="M39" i="3"/>
  <c r="H14" i="3"/>
  <c r="L12" i="2"/>
  <c r="L50" i="2"/>
  <c r="G12" i="2"/>
  <c r="H12" i="2"/>
  <c r="G41" i="2"/>
  <c r="E41" i="2" s="1"/>
  <c r="M50" i="2"/>
  <c r="M12" i="2"/>
  <c r="M63" i="2" s="1"/>
  <c r="X49" i="1"/>
  <c r="X13" i="1" s="1"/>
  <c r="F53" i="1"/>
  <c r="T321" i="1"/>
  <c r="E69" i="1"/>
  <c r="G65" i="1"/>
  <c r="I13" i="1"/>
  <c r="R321" i="1"/>
  <c r="V321" i="1"/>
  <c r="F13" i="1"/>
  <c r="L18" i="1"/>
  <c r="M13" i="1"/>
  <c r="F49" i="1"/>
  <c r="E58" i="1"/>
  <c r="K53" i="1"/>
  <c r="K49" i="1" s="1"/>
  <c r="K13" i="1" s="1"/>
  <c r="E268" i="1"/>
  <c r="H69" i="1"/>
  <c r="G123" i="1"/>
  <c r="E123" i="1" s="1"/>
  <c r="H147" i="1"/>
  <c r="F147" i="1" s="1"/>
  <c r="F157" i="1"/>
  <c r="E157" i="1"/>
  <c r="I254" i="1"/>
  <c r="O201" i="1"/>
  <c r="O200" i="1" s="1"/>
  <c r="O199" i="1" s="1"/>
  <c r="L238" i="1"/>
  <c r="G53" i="1"/>
  <c r="G96" i="1"/>
  <c r="E96" i="1" s="1"/>
  <c r="E109" i="1"/>
  <c r="P124" i="1"/>
  <c r="P123" i="1" s="1"/>
  <c r="F163" i="1"/>
  <c r="P163" i="1"/>
  <c r="P157" i="1" s="1"/>
  <c r="P147" i="1" s="1"/>
  <c r="H170" i="1"/>
  <c r="M181" i="1"/>
  <c r="M174" i="1" s="1"/>
  <c r="M170" i="1" s="1"/>
  <c r="L190" i="1"/>
  <c r="L181" i="1" s="1"/>
  <c r="L174" i="1" s="1"/>
  <c r="L170" i="1" s="1"/>
  <c r="K201" i="1"/>
  <c r="K200" i="1" s="1"/>
  <c r="K199" i="1" s="1"/>
  <c r="E211" i="1"/>
  <c r="E256" i="1"/>
  <c r="P254" i="1"/>
  <c r="J286" i="1"/>
  <c r="J321" i="1" s="1"/>
  <c r="E296" i="1"/>
  <c r="F134" i="1"/>
  <c r="L136" i="1"/>
  <c r="L134" i="1" s="1"/>
  <c r="L124" i="1" s="1"/>
  <c r="L123" i="1" s="1"/>
  <c r="O134" i="1"/>
  <c r="O124" i="1" s="1"/>
  <c r="O123" i="1" s="1"/>
  <c r="L147" i="1"/>
  <c r="E154" i="1"/>
  <c r="K170" i="1"/>
  <c r="E182" i="1"/>
  <c r="H199" i="1"/>
  <c r="F199" i="1" s="1"/>
  <c r="F200" i="1"/>
  <c r="P201" i="1"/>
  <c r="P200" i="1" s="1"/>
  <c r="P199" i="1" s="1"/>
  <c r="L201" i="1"/>
  <c r="L200" i="1" s="1"/>
  <c r="L199" i="1" s="1"/>
  <c r="E235" i="1"/>
  <c r="G201" i="1"/>
  <c r="E263" i="1"/>
  <c r="G258" i="1"/>
  <c r="L268" i="1"/>
  <c r="L254" i="1" s="1"/>
  <c r="M254" i="1"/>
  <c r="G289" i="1"/>
  <c r="H255" i="1"/>
  <c r="K258" i="1"/>
  <c r="K255" i="1" s="1"/>
  <c r="K254" i="1" s="1"/>
  <c r="E165" i="1"/>
  <c r="G181" i="1"/>
  <c r="E65" i="1" l="1"/>
  <c r="E45" i="5"/>
  <c r="G14" i="7"/>
  <c r="E57" i="5"/>
  <c r="E71" i="5"/>
  <c r="G70" i="5"/>
  <c r="E70" i="5" s="1"/>
  <c r="F170" i="1"/>
  <c r="E44" i="5"/>
  <c r="O49" i="9"/>
  <c r="F174" i="1"/>
  <c r="L13" i="1"/>
  <c r="H44" i="8"/>
  <c r="K73" i="5"/>
  <c r="F181" i="1"/>
  <c r="G88" i="1"/>
  <c r="E88" i="1" s="1"/>
  <c r="M61" i="3"/>
  <c r="G116" i="6"/>
  <c r="K44" i="8"/>
  <c r="E33" i="8"/>
  <c r="G29" i="8"/>
  <c r="E29" i="8" s="1"/>
  <c r="O73" i="5"/>
  <c r="H96" i="1"/>
  <c r="F106" i="1"/>
  <c r="E258" i="1"/>
  <c r="O321" i="1"/>
  <c r="P321" i="1"/>
  <c r="E21" i="5"/>
  <c r="I23" i="6"/>
  <c r="I116" i="6" s="1"/>
  <c r="I120" i="6" s="1"/>
  <c r="E32" i="8"/>
  <c r="E13" i="9"/>
  <c r="F46" i="4"/>
  <c r="E23" i="6"/>
  <c r="F38" i="9"/>
  <c r="F39" i="9"/>
  <c r="J44" i="8"/>
  <c r="H49" i="9"/>
  <c r="N321" i="1"/>
  <c r="X69" i="1"/>
  <c r="X65" i="1" s="1"/>
  <c r="X321" i="1" s="1"/>
  <c r="F84" i="1"/>
  <c r="K49" i="9"/>
  <c r="K60" i="9" s="1"/>
  <c r="F32" i="9"/>
  <c r="P31" i="9"/>
  <c r="G49" i="9"/>
  <c r="E39" i="9"/>
  <c r="I49" i="9"/>
  <c r="I60" i="9" s="1"/>
  <c r="E25" i="8"/>
  <c r="T44" i="8"/>
  <c r="K50" i="8"/>
  <c r="K48" i="8"/>
  <c r="G12" i="8"/>
  <c r="E15" i="8"/>
  <c r="E26" i="8"/>
  <c r="G13" i="7"/>
  <c r="E14" i="7"/>
  <c r="G123" i="6"/>
  <c r="E123" i="6" s="1"/>
  <c r="E116" i="6"/>
  <c r="G120" i="6"/>
  <c r="E120" i="6" s="1"/>
  <c r="E35" i="5"/>
  <c r="G34" i="5"/>
  <c r="E34" i="5" s="1"/>
  <c r="W73" i="5"/>
  <c r="E15" i="5"/>
  <c r="G13" i="5"/>
  <c r="H73" i="5"/>
  <c r="G25" i="5"/>
  <c r="E25" i="5" s="1"/>
  <c r="E26" i="5"/>
  <c r="E39" i="5"/>
  <c r="G38" i="5"/>
  <c r="E38" i="5" s="1"/>
  <c r="G46" i="4"/>
  <c r="E13" i="4"/>
  <c r="G61" i="3"/>
  <c r="E14" i="3"/>
  <c r="F14" i="3"/>
  <c r="H61" i="3"/>
  <c r="F61" i="3" s="1"/>
  <c r="L61" i="3"/>
  <c r="L65" i="3" s="1"/>
  <c r="F12" i="2"/>
  <c r="H63" i="2"/>
  <c r="F63" i="2" s="1"/>
  <c r="E12" i="2"/>
  <c r="G63" i="2"/>
  <c r="L63" i="2"/>
  <c r="G200" i="1"/>
  <c r="E201" i="1"/>
  <c r="E181" i="1"/>
  <c r="G174" i="1"/>
  <c r="E289" i="1"/>
  <c r="G286" i="1"/>
  <c r="E286" i="1" s="1"/>
  <c r="M321" i="1"/>
  <c r="I321" i="1"/>
  <c r="E53" i="1"/>
  <c r="G49" i="1"/>
  <c r="H254" i="1"/>
  <c r="F254" i="1" s="1"/>
  <c r="F255" i="1"/>
  <c r="G255" i="1"/>
  <c r="F69" i="1"/>
  <c r="H65" i="1"/>
  <c r="K321" i="1"/>
  <c r="L321" i="1"/>
  <c r="F44" i="8" l="1"/>
  <c r="I123" i="6"/>
  <c r="K84" i="5"/>
  <c r="K86" i="5"/>
  <c r="F96" i="1"/>
  <c r="H88" i="1"/>
  <c r="F88" i="1" s="1"/>
  <c r="F73" i="5"/>
  <c r="E49" i="9"/>
  <c r="G60" i="9"/>
  <c r="E60" i="9" s="1"/>
  <c r="F31" i="9"/>
  <c r="P49" i="9"/>
  <c r="F49" i="9" s="1"/>
  <c r="G44" i="8"/>
  <c r="E12" i="8"/>
  <c r="E13" i="7"/>
  <c r="G49" i="7"/>
  <c r="G73" i="5"/>
  <c r="E13" i="5"/>
  <c r="E46" i="4"/>
  <c r="G50" i="4"/>
  <c r="E50" i="4" s="1"/>
  <c r="E61" i="3"/>
  <c r="G65" i="3"/>
  <c r="E65" i="3" s="1"/>
  <c r="E63" i="2"/>
  <c r="G67" i="2"/>
  <c r="E67" i="2" s="1"/>
  <c r="K325" i="1"/>
  <c r="K331" i="1"/>
  <c r="E174" i="1"/>
  <c r="G170" i="1"/>
  <c r="E170" i="1" s="1"/>
  <c r="I331" i="1"/>
  <c r="I325" i="1"/>
  <c r="F65" i="1"/>
  <c r="H321" i="1"/>
  <c r="F321" i="1" s="1"/>
  <c r="E49" i="1"/>
  <c r="G13" i="1"/>
  <c r="E255" i="1"/>
  <c r="G254" i="1"/>
  <c r="E254" i="1" s="1"/>
  <c r="E200" i="1"/>
  <c r="G199" i="1"/>
  <c r="E199" i="1" s="1"/>
  <c r="E44" i="8" l="1"/>
  <c r="G48" i="8"/>
  <c r="E48" i="8" s="1"/>
  <c r="G50" i="8"/>
  <c r="E50" i="8" s="1"/>
  <c r="E49" i="7"/>
  <c r="G53" i="7"/>
  <c r="E53" i="7" s="1"/>
  <c r="G84" i="5"/>
  <c r="E84" i="5" s="1"/>
  <c r="G86" i="5"/>
  <c r="E86" i="5" s="1"/>
  <c r="E73" i="5"/>
  <c r="E77" i="5" s="1"/>
  <c r="E78" i="5" s="1"/>
  <c r="G321" i="1"/>
  <c r="E13" i="1"/>
  <c r="G325" i="1" l="1"/>
  <c r="E325" i="1" s="1"/>
  <c r="E321" i="1"/>
  <c r="G331" i="1"/>
  <c r="E331" i="1" s="1"/>
</calcChain>
</file>

<file path=xl/sharedStrings.xml><?xml version="1.0" encoding="utf-8"?>
<sst xmlns="http://schemas.openxmlformats.org/spreadsheetml/2006/main" count="1810" uniqueCount="768">
  <si>
    <t>PATIKSLINTA 2019 m. lapkričio 29 sprendimo Nr. TS-</t>
  </si>
  <si>
    <t>3 priedas</t>
  </si>
  <si>
    <t>KĖDAINIŲ RAJONO SAVIVALDYBĖS 2019 METŲ BIUDŽETO ASIGNAVIMAI  SAVARANKIŠKOMS FUNKCIJOMS ATLIKTI</t>
  </si>
  <si>
    <t>(tūkst. Eur)</t>
  </si>
  <si>
    <t>Eil.   Nr.</t>
  </si>
  <si>
    <t>Programos kodas</t>
  </si>
  <si>
    <t>Asignavimų valdytojas</t>
  </si>
  <si>
    <t>Funkcijos kodas</t>
  </si>
  <si>
    <t>Iš viso</t>
  </si>
  <si>
    <t>iš jų:</t>
  </si>
  <si>
    <t>išlaidoms</t>
  </si>
  <si>
    <t>turtui įsigyti</t>
  </si>
  <si>
    <t>Planas</t>
  </si>
  <si>
    <t>Įvykdyta</t>
  </si>
  <si>
    <t>iš jų darbo užmokesčiui</t>
  </si>
  <si>
    <t>2</t>
  </si>
  <si>
    <t>01</t>
  </si>
  <si>
    <t>ŠVIETIMAS IR UGDYMAS</t>
  </si>
  <si>
    <t>Kėdainių lopšelis-darželis „Aviliukas“</t>
  </si>
  <si>
    <t>09.01.01.01
09.05.01.01</t>
  </si>
  <si>
    <t>Kėdainių lopšelis-darželis „Pasaka“</t>
  </si>
  <si>
    <t>09.01.01.01</t>
  </si>
  <si>
    <t>Kėdainių lopšelis-darželis „Puriena“</t>
  </si>
  <si>
    <t>Kėdainių lopšelis-darželis „Vaikystė“</t>
  </si>
  <si>
    <t>Kėdainių lopšelis-darželis „Varpelis“</t>
  </si>
  <si>
    <t>Kėdainių lopšelis-darželis „Vyturėlis“</t>
  </si>
  <si>
    <t>Kėdainių lopšelis-darželis „Žilvitis“</t>
  </si>
  <si>
    <t>Kėdainių rajono Vilainių mokykla-darželis „Obelėlė“</t>
  </si>
  <si>
    <t>09.01.02.01</t>
  </si>
  <si>
    <t>Kėdainių „Atžalyno“ gimnazija</t>
  </si>
  <si>
    <t>09.02.02.01</t>
  </si>
  <si>
    <t>Kėdainių šviesioji gimnazija</t>
  </si>
  <si>
    <t>09.02.02.01
09.05.01.01</t>
  </si>
  <si>
    <t>Kėdainių r. Akademijos gimnazija</t>
  </si>
  <si>
    <t>Kėdainių r. Josvainių gimnazija</t>
  </si>
  <si>
    <t>Kėdainių r. Krakių Mikalojaus Katkaus gimnazija</t>
  </si>
  <si>
    <t>Kėdainių r. Šėtos  gimnazija</t>
  </si>
  <si>
    <t>Lietuvos sporto universiteto Kėdainių „Aušros“ progimnazija</t>
  </si>
  <si>
    <t>09.02.01.01</t>
  </si>
  <si>
    <t>Kėdainių „Ryto“ progimnazija</t>
  </si>
  <si>
    <t>Kėdainių Juozo Paukštelio progimnazija</t>
  </si>
  <si>
    <t>Kėdainių r. Dotnuvos pagrindinė mokykla</t>
  </si>
  <si>
    <t>Kėdainių r. Labūnavos pagrindinė mokykla</t>
  </si>
  <si>
    <t>Kėdainių r. Miegėnų pagrindinė mokykla</t>
  </si>
  <si>
    <t>Kėdainių r. Surviliškio Vinco Svirskio pagrindinė mokykla</t>
  </si>
  <si>
    <t>Kėdainių r. Truskavos pagrindinė mokykla</t>
  </si>
  <si>
    <t>Kėdainių suaugusiųjų ir jaunimo mokymo centras</t>
  </si>
  <si>
    <t>09.02.01.01
09.02.02.01 
09.05.01.01</t>
  </si>
  <si>
    <t>Kėdainių specialioji mokykla</t>
  </si>
  <si>
    <t>Kėdainių dailės mokykla</t>
  </si>
  <si>
    <t>09.05.01.01</t>
  </si>
  <si>
    <t>iš jų: valstybės biudžeto lėšos, skirtos mokytojams, dirbantiems pagal neformaliojo vaikų švietimo (išskyrus ikimokyklinio ir priešmokyklinio ugdymo) programas</t>
  </si>
  <si>
    <t>Kėdainių kalbų mokykla</t>
  </si>
  <si>
    <t>Kėdainių muzikos  mokykla</t>
  </si>
  <si>
    <t>Kėdainių sporto centras</t>
  </si>
  <si>
    <t xml:space="preserve">Kėdainių švietimo pagalbos tarnyba </t>
  </si>
  <si>
    <t>09.05.01.01  09.05.01.02 09.05.01.03</t>
  </si>
  <si>
    <t>Josvainių socialinis ir ugdymo centras</t>
  </si>
  <si>
    <t>Šėtos socialinis ir ugdymo  centras</t>
  </si>
  <si>
    <t xml:space="preserve">Kėdainių rajono savivaldybės administracija iš viso: </t>
  </si>
  <si>
    <t>33.1</t>
  </si>
  <si>
    <t xml:space="preserve">Kėdainių rajono savivaldybės administracija </t>
  </si>
  <si>
    <t xml:space="preserve">09.08.01.09    </t>
  </si>
  <si>
    <t>33.2</t>
  </si>
  <si>
    <t>Finansuoti vaikų vasaros poilsio ir užimtumo programas, įskaitant dienos stovyklų organizavimą</t>
  </si>
  <si>
    <t>09.08.01.01</t>
  </si>
  <si>
    <t>33.3</t>
  </si>
  <si>
    <t>Skatinti  savivaldybės gabius mokinius</t>
  </si>
  <si>
    <t>09.06.01.01</t>
  </si>
  <si>
    <t>33.4</t>
  </si>
  <si>
    <t>Kėdainių rajono savivaldybės 2019 m. biudžeto asignavimai investicijų projektams ir remonto darbams finansuoti pagal objektus:</t>
  </si>
  <si>
    <t>33.4.1</t>
  </si>
  <si>
    <t>Pastatyti Kėdainių r. Akademijos gimnazijos priestatą</t>
  </si>
  <si>
    <t>33.4.2</t>
  </si>
  <si>
    <t>Atnaujinti Lietuvos sporto universiteto Kėdainių  „Aušros“ progimnaziją, kuriant modernias ir saugias erdves</t>
  </si>
  <si>
    <t>33.4.3</t>
  </si>
  <si>
    <t>Remontuoti Kėdainių Juozo Paukštelio progimnazijos vidaus patalpas</t>
  </si>
  <si>
    <t>33.4.4</t>
  </si>
  <si>
    <t>Modernizuoti Kėdainių lopšelio-darželio „Vaikystė“ infrastruktūrą</t>
  </si>
  <si>
    <t>33.4.5</t>
  </si>
  <si>
    <t>Modernizuoti Kėdainių lopšelio-darželio „Žilvitis“ infrastruktūrą</t>
  </si>
  <si>
    <t>33.4.6</t>
  </si>
  <si>
    <t>Atnaujinti ikimokyklinio ugdymo įstaigų lauko inventorių</t>
  </si>
  <si>
    <t>09.</t>
  </si>
  <si>
    <t>33.4.7</t>
  </si>
  <si>
    <t>Šalinti higienos normų reikalavimų trūkumus, sudarant saugias ugdymo sąlygas įstaigose, vykdančiose ugdymo programas</t>
  </si>
  <si>
    <t>33.4.8</t>
  </si>
  <si>
    <t>Atnaujinti maitinimo įrangą ir inventorių ikimokyklinio ugdymo įstaigose</t>
  </si>
  <si>
    <t>33.4.9</t>
  </si>
  <si>
    <t>Remontuoti Kėdainių specialiąją mokyklą</t>
  </si>
  <si>
    <t>33.4.10</t>
  </si>
  <si>
    <t>Remontuoti Kėdainių r. Miegėnų pagrindinės mokyklos sporto salę</t>
  </si>
  <si>
    <t>33.4.11</t>
  </si>
  <si>
    <t>Modernizuoti Kėdainių „Ryto“ progimnaziją, Pavasario g. 6, Kėdainiai</t>
  </si>
  <si>
    <t>02</t>
  </si>
  <si>
    <t>SVEIKATOS APSAUGA</t>
  </si>
  <si>
    <t>Kėdainių rajono savivaldybės visuomenės sveikatos biuras iš viso:</t>
  </si>
  <si>
    <t xml:space="preserve">07.04.01.02 </t>
  </si>
  <si>
    <t>iš jų: įgyvendinti projektą "Sveikos gyvensenos skatinimas Kėdainių rajone"</t>
  </si>
  <si>
    <t>07.06.01.06</t>
  </si>
  <si>
    <t>iš jų: įgyvendinti projektą "Elgsenos keitimo iniciatyvos Kėdainių rajono vaikams"</t>
  </si>
  <si>
    <t>36.1</t>
  </si>
  <si>
    <t>07.06.01.09</t>
  </si>
  <si>
    <t>36.2</t>
  </si>
  <si>
    <t>Gerinti pirminės asmens sveikatos priežiūros paslaugų teikimo prieinamumą tuberkuliozės srityje</t>
  </si>
  <si>
    <t>36.3</t>
  </si>
  <si>
    <t>Vykdyti  E sveikatos informacinės sistemos diegimo, palaikymo ir tobulinimo VšĮ Kėdainių PSPC ir VšĮ Kėdainių ligoninėje 2016-2021 m. programą</t>
  </si>
  <si>
    <t>07.01.03.01</t>
  </si>
  <si>
    <t>36.4</t>
  </si>
  <si>
    <t>Vykdyti VšĮ Kėdainių ligoninės dantų protezavimo programą</t>
  </si>
  <si>
    <t>07.02.03.01</t>
  </si>
  <si>
    <t>36.5</t>
  </si>
  <si>
    <t>Vykdyti VšĮ Kėdainių ligoninės vaikų slaugos programą</t>
  </si>
  <si>
    <t>07.03.01.01</t>
  </si>
  <si>
    <t>36.6</t>
  </si>
  <si>
    <t>Vykdyti odontologinės priežiūros/pagalbos kokybės gerinimo Kėdainių rajono savivaldybės gyventojams 2011-2021 m. programą</t>
  </si>
  <si>
    <t>36.7</t>
  </si>
  <si>
    <t>Vykdyti storosios žarnos vėžio ankstyvosios diagnostikos efektyvumo didinimo Kėdainių rajono savivaldybėje 2014-2019 m. programą</t>
  </si>
  <si>
    <t>36.8</t>
  </si>
  <si>
    <t>Vykdyti traumatologinės  pagalbos kokybės gerinimo Kėdainių rajono savivaldybės gyventojams 2016-2021 m. programą</t>
  </si>
  <si>
    <t>36.9</t>
  </si>
  <si>
    <t xml:space="preserve">Vykdyti Kėdainių rajono tuberkuliozės prevencijos, ankstyvosios diagnostikos, gydymo ir kontrolės                          2017-2022 m. programą </t>
  </si>
  <si>
    <t>36.10</t>
  </si>
  <si>
    <t>Vykdyti ultragarsinių diagnostinių paslaugų teikimo efektyvumo gerinimo Kėdainių rajono savivaldybėje                          2017-2022 m. programą</t>
  </si>
  <si>
    <t>36.11</t>
  </si>
  <si>
    <t>Vykdyti pirminės asmens sveikatos priežiūros paslaugų prieinamumo ir kokybės užtikrinimo Kėdainių rajono kaimiškųjų vietovių gyventojams 2017-2020 m. programą</t>
  </si>
  <si>
    <t>36.12</t>
  </si>
  <si>
    <t xml:space="preserve">Vykdyti priėmimo-skubiosios pagalbos  skyriuje teikiamos pagalbos kokybės gerinimo Kėdainių rajono savivaldybės gyventojams 2019-2020 m. programą </t>
  </si>
  <si>
    <t>36.13</t>
  </si>
  <si>
    <t xml:space="preserve">Vykdyti ambulatorinės akušerinės ir ginekologinės pagalbos kokybės gerinimo Kėdainių rajono savivaldybės moterims 2019-2024 m. programą </t>
  </si>
  <si>
    <t>07.02.01.01</t>
  </si>
  <si>
    <t>36.14</t>
  </si>
  <si>
    <t>Vykdyti aplinkos apsaugos rėmimo specialiąją programą (pridedama 12 priedas)</t>
  </si>
  <si>
    <t>07.06.01.02</t>
  </si>
  <si>
    <t>36.15</t>
  </si>
  <si>
    <t>36.15.1</t>
  </si>
  <si>
    <t>Rekonstruoti VšĮ Kėdainių ligoninės laboratorinio-stomatologinio korpusą</t>
  </si>
  <si>
    <t>36.15.2</t>
  </si>
  <si>
    <t xml:space="preserve">Didinti pirminės asmens sveikatos priežiūros veiklos efektyvumą VšĮ Kėdainių pirminės sveikatos priežiūros centre </t>
  </si>
  <si>
    <t>36.15.3</t>
  </si>
  <si>
    <t>Atnaujinti Dotnuvos seniūnijos Akademijos miestelio visuomeninės paskirties pastatą, pritaikant jį kaimo bendruomenės poreikiams</t>
  </si>
  <si>
    <t>03</t>
  </si>
  <si>
    <t>SOCIALINĖS APSAUGOS PLĖTOJIMAS</t>
  </si>
  <si>
    <t>Kėdainių bendruomenės socialinis centras</t>
  </si>
  <si>
    <t>10.01.02.02
10.07.01.01
10.09.01.01</t>
  </si>
  <si>
    <t>iš jų: vykdyti socialinės paramos 2019 m. programą</t>
  </si>
  <si>
    <t xml:space="preserve">iš jų: teikti integralią pagalbą į namus Kėdainių rajone </t>
  </si>
  <si>
    <t>Dotnuvos slaugos namai</t>
  </si>
  <si>
    <t>10.02.01.02</t>
  </si>
  <si>
    <t xml:space="preserve">10.02.01.02 </t>
  </si>
  <si>
    <t>Kėdainių pagalbos šeimai centras</t>
  </si>
  <si>
    <t>10.04.01.01</t>
  </si>
  <si>
    <t>43.1</t>
  </si>
  <si>
    <t>10.01.02.02
10.06.01.01
10.09.01.01 
10.09.01.09</t>
  </si>
  <si>
    <t>43.2</t>
  </si>
  <si>
    <t>Organizuoti nemokamą socialiai remtinų vaikų maitinimą ikimokyklinėse įstaigose</t>
  </si>
  <si>
    <t>10.07.01.01</t>
  </si>
  <si>
    <t>43.3</t>
  </si>
  <si>
    <t xml:space="preserve">Kompensuoti nemokamo mokinių maitinimo kainą bendrojo lavinimo mokyklose </t>
  </si>
  <si>
    <t>43.4</t>
  </si>
  <si>
    <t xml:space="preserve">Dengti kainų skirtumą gyventojams už šildymą </t>
  </si>
  <si>
    <t>10.06.01.01</t>
  </si>
  <si>
    <t>43.5</t>
  </si>
  <si>
    <t>Kompensuoti karšto ir šalto vandens pardavimo kainą socialiai remtiniems asmenims</t>
  </si>
  <si>
    <t>43.6</t>
  </si>
  <si>
    <t xml:space="preserve">Kompensuoti kelionės išlaidas už lengvatinį keleivių vežimą </t>
  </si>
  <si>
    <t>09.06.01.01
10.01.02.40
10.02.01.40</t>
  </si>
  <si>
    <t>43.7</t>
  </si>
  <si>
    <t xml:space="preserve">Užtikrinti paslaugų teikimą VšĮ „Gyvenimo namai  sutrikusio intelekto asmenims“   </t>
  </si>
  <si>
    <t>10.01.02.40</t>
  </si>
  <si>
    <t>43.8</t>
  </si>
  <si>
    <t>Organizuoti socialinės reabilitacijos paslaugų neįgaliesiems bendruomenėje projektų konkursus</t>
  </si>
  <si>
    <t>10.01.02.01</t>
  </si>
  <si>
    <t>43.9</t>
  </si>
  <si>
    <t>Finansuoti dienos socialinės globos paslaugų teikimo Kėdainių socialinės globos namuose programą</t>
  </si>
  <si>
    <t>10.01.02.02</t>
  </si>
  <si>
    <t>43.10</t>
  </si>
  <si>
    <t>43.10.1</t>
  </si>
  <si>
    <t>Remontuoti savivaldybės ir socialinį būstą</t>
  </si>
  <si>
    <t>10.06.01.40 06.01.01.01</t>
  </si>
  <si>
    <t>43.10.2</t>
  </si>
  <si>
    <t>Pritaikyti viešąją aplinką neįgaliųjų poreikiams</t>
  </si>
  <si>
    <t>43.10.3</t>
  </si>
  <si>
    <t xml:space="preserve">Užtikrinti socialinio būsto fondo plėtrą Kėdainiuose </t>
  </si>
  <si>
    <t>06.01.01.01</t>
  </si>
  <si>
    <t>43.10.4</t>
  </si>
  <si>
    <t>Atnaujinti Josvainių socialinio ir ugdymo centrą bei įkurti savarankiško gyvenimo namus jame</t>
  </si>
  <si>
    <t>43.10.5</t>
  </si>
  <si>
    <t>Dalinai finansuoti šeimynos "Alrudai" gyvenamojo namo stogo apšiltinimo darbus</t>
  </si>
  <si>
    <t>10.06.01.40</t>
  </si>
  <si>
    <t>Kėdainių rajono savivaldybės administracijos Kėdainių miesto seniūnija</t>
  </si>
  <si>
    <t xml:space="preserve">10.06.01.01 10.07.01.01
10.09.01.09 </t>
  </si>
  <si>
    <t>Kėdainių rajono savivaldybės administracijos Dotnuvos seniūnija</t>
  </si>
  <si>
    <t>10.06.01.01 10.07.01.01
10.09.01.09</t>
  </si>
  <si>
    <t>Kėdainių rajono savivaldybės administracijos Gudžiūnų seniūnija</t>
  </si>
  <si>
    <t>Kėdainių rajono savivaldybės administracijos Josvainių seniūnija</t>
  </si>
  <si>
    <t>Kėdainių rajono savivaldybės administracijos Krakių seniūnija</t>
  </si>
  <si>
    <t>Kėdainių rajono savivaldybės administracijos Pelėdnagių seniūnija</t>
  </si>
  <si>
    <t>Kėdainių rajono savivaldybės administracijos Pernaravos seniūnija</t>
  </si>
  <si>
    <t>Kėdainių rajono savivaldybės administracijos Surviliškio seniūnija</t>
  </si>
  <si>
    <t>Kėdainių rajono savivaldybės administracijos Šėtos seniūnija</t>
  </si>
  <si>
    <t>Kėdainių rajono savivaldybės administracijos Truskavos seniūnija</t>
  </si>
  <si>
    <t>Kėdainių rajono savivaldybės administracijos Vilainių seniūnija</t>
  </si>
  <si>
    <t>04</t>
  </si>
  <si>
    <t>KŪNO KULTŪROS IR SPORTO PLĖTRA</t>
  </si>
  <si>
    <t>56.1</t>
  </si>
  <si>
    <t>08.06.01.09</t>
  </si>
  <si>
    <t>56.2</t>
  </si>
  <si>
    <t>Finansuoti prioritetinių sporto šakų projektus/programas:</t>
  </si>
  <si>
    <t>08.01.01.03</t>
  </si>
  <si>
    <t>iš jų: Paramos ir labdaros fondo „Krepšinio angelai“ programai</t>
  </si>
  <si>
    <t>iš jų: VšĮ „Sporto perspektyvos" programai</t>
  </si>
  <si>
    <t>iš jų: Kėdainių bokso federacijos programai</t>
  </si>
  <si>
    <t>iš jų: VšĮ „Sporto perspektyvos" vaikų ir jaunimo futbolo plėtros programai</t>
  </si>
  <si>
    <t>iš jų: Kėdainių sporto klubo "Ateitis" programai</t>
  </si>
  <si>
    <t>56.3</t>
  </si>
  <si>
    <t>Finansuoti kitus kūno kultūros ir sporto veiklos  projektus</t>
  </si>
  <si>
    <t>56.4</t>
  </si>
  <si>
    <t>Finansuoti neįgaliųjų socialinės integracijos per kūno kultūrą ir sportą projektus</t>
  </si>
  <si>
    <t>56.5</t>
  </si>
  <si>
    <t>56.5.1</t>
  </si>
  <si>
    <t>Atnaujinti/įrengti vaikų sporto ir žaidimų aikšteles Kėdainių mieste</t>
  </si>
  <si>
    <t>08.01.01.02</t>
  </si>
  <si>
    <t>56.5.2</t>
  </si>
  <si>
    <t>Tobulinti Kėdainių sporto centro infrastruktūrą (Parko g. 4, Vilainiai)</t>
  </si>
  <si>
    <t>Kėdainių rajono savivaldybės administracijos Šėtos   seniūnija</t>
  </si>
  <si>
    <t>05</t>
  </si>
  <si>
    <t>KULTŪROS VEIKLOS PLĖTRA</t>
  </si>
  <si>
    <t>Kėdainių kultūros centras</t>
  </si>
  <si>
    <t>08.02.01.08</t>
  </si>
  <si>
    <t>Akademijos kultūros centras</t>
  </si>
  <si>
    <t>Josvainių kultūros centras</t>
  </si>
  <si>
    <t>Krakių kultūros centras</t>
  </si>
  <si>
    <t>Šėtos kultūros centras</t>
  </si>
  <si>
    <t>Truskavos kultūros centras</t>
  </si>
  <si>
    <t>Kėdainių rajono savivaldybės Mikalojaus Daukšos viešoji biblioteka</t>
  </si>
  <si>
    <t>08.02.01.01</t>
  </si>
  <si>
    <t>Kėdainių krašto muziejus</t>
  </si>
  <si>
    <t>08.02.01.02</t>
  </si>
  <si>
    <t>iš jų: įgyvendinti projektą „Lietuvos-Lenkijos istorija iš trijų miestų perspektyvos“</t>
  </si>
  <si>
    <t>76.1</t>
  </si>
  <si>
    <t>08.02.01.06
08.06.01.09</t>
  </si>
  <si>
    <t>76.2</t>
  </si>
  <si>
    <t>Užtikrinti rajono nevyriausybinių organizacijų (įskaitant bendruomenines organizacijas) plėtrą</t>
  </si>
  <si>
    <t>08.04.01.01</t>
  </si>
  <si>
    <t>76.3</t>
  </si>
  <si>
    <t xml:space="preserve">Sudaryti sąlygas bendruomeninių organizacijų veiklai </t>
  </si>
  <si>
    <t>76.4</t>
  </si>
  <si>
    <t xml:space="preserve">Finansuoti Kėdainių rajono vietos veiklos grupės teritorijos vietos plėtros 2015-2023 m. strategijos įgyvendinimą  </t>
  </si>
  <si>
    <t>01-10</t>
  </si>
  <si>
    <t>76.5</t>
  </si>
  <si>
    <t>Finansuoti Kėdainių miesto vietos veiklos grupės 2016–2022 m. vietos plėtros strategijos įgyvendinimą</t>
  </si>
  <si>
    <t>76.6</t>
  </si>
  <si>
    <t>76.6.1</t>
  </si>
  <si>
    <t xml:space="preserve">Remontuoti Kėdainių rajono savivaldybės Mikalojaus Daukšos biblioteką ir jos filialus </t>
  </si>
  <si>
    <t>76.6.2</t>
  </si>
  <si>
    <t>Aktualizuoti Kėdainių krašto muziejų, padidinant kultūros paveldo aktualumą, lankomumą ir žinomumą (įskaitant ekspozicijų atnaujinimą)</t>
  </si>
  <si>
    <t>76.6.3</t>
  </si>
  <si>
    <t>Atnaujinti Krakių miestelio kultūros centrą, pritaikant jį kaimo bendruomenės poreikiams</t>
  </si>
  <si>
    <t>76.6.4</t>
  </si>
  <si>
    <t>Išplėsti Kėdainių rajono Truskavos seniūnijos pastatą, pritaikant jį kaimo bendruomenės poreikiams bei kultūrinei veiklai</t>
  </si>
  <si>
    <t>76.6.5</t>
  </si>
  <si>
    <t>Atnaujinti Kėdainių rajono Krakių  seniūnijos Ažytėnų kaimo visuomenės paskirties pastatą, pritaikant jį kaimo bendruomenės poreikiams bei kultūrinei veiklai</t>
  </si>
  <si>
    <t>77</t>
  </si>
  <si>
    <t>06</t>
  </si>
  <si>
    <t>KULTŪROS PAVELDO IŠSAUGOJIMAS, TURIZMO SKATINIMAS IR VYSTYMAS</t>
  </si>
  <si>
    <t>Kėdainių krašto muziejus iš viso:</t>
  </si>
  <si>
    <t>iš jų: dalyvauti projekte "Kunigaikščių Radvilų paveldo Kėdainiuose ir Nesvyžiuje išsaugojimas bei pritaikymas turizmo reikmėms"</t>
  </si>
  <si>
    <t>04.07.03.01</t>
  </si>
  <si>
    <t>iš jų: Dalyvauti akcijoje "Kėdainiams reikia vargonų"</t>
  </si>
  <si>
    <t>08.06.01.01</t>
  </si>
  <si>
    <t>80.1</t>
  </si>
  <si>
    <t>Finansuoti VšĮ Kėdainių turizmo ir verslo informacijos centro turizmo veiklos programą</t>
  </si>
  <si>
    <t>80.2</t>
  </si>
  <si>
    <t>Įgyvendinti Kėdainių rajono savivaldybės bažnyčių rėmimo programą</t>
  </si>
  <si>
    <t>08.04.01.02</t>
  </si>
  <si>
    <t>80.3</t>
  </si>
  <si>
    <t>Parengti Nekilnojamųjų kultūros vertybių vertinimo medžiagą ir pristatyti nekilnojamojo kultūros paveldo vertinimo tarybai</t>
  </si>
  <si>
    <t>08.02.01.07</t>
  </si>
  <si>
    <t>80.4</t>
  </si>
  <si>
    <t xml:space="preserve">Rengti nekilnojamųjų kultūros paveldo objektų, vietovių  individualius apsaugos reglamentus </t>
  </si>
  <si>
    <t>80.5</t>
  </si>
  <si>
    <t>Dalyvauti nekilnojamojo kultūros paveldo pažinimo sklaidos ir atgaivinimo programoje</t>
  </si>
  <si>
    <t>04.07.03.01 08.03.01.07</t>
  </si>
  <si>
    <t>80.6</t>
  </si>
  <si>
    <t>04.07.05.01</t>
  </si>
  <si>
    <t>80.7</t>
  </si>
  <si>
    <t>80.7.1</t>
  </si>
  <si>
    <t>Įgyvendinti projektą „Jonavos, Kėdainių ir Raseinių rajonų savivaldybes jungiančių trasų ir turizmo maršrutų informacinės infrastruktūros plėtra“</t>
  </si>
  <si>
    <t>80.7.2</t>
  </si>
  <si>
    <t xml:space="preserve">Įgyvendinti priemones, skirtas kovų už Lietuvos Nepriklausomybę vietoms ir paminklams įamžinti </t>
  </si>
  <si>
    <t xml:space="preserve">08.02.01.07
</t>
  </si>
  <si>
    <t>lieka 1350</t>
  </si>
  <si>
    <t>80.7.3</t>
  </si>
  <si>
    <t>Kompleksiškai sutvarkyti Kėdainių Sinagogą (Smilgos g. 5A, Kėdainiai), pritaikant kultūrinėms bei kitoms reikmėms</t>
  </si>
  <si>
    <t>80.7.4</t>
  </si>
  <si>
    <t xml:space="preserve">Atnaujinti Kėdainių miesto rotušės kiemelį </t>
  </si>
  <si>
    <t>80.7.5</t>
  </si>
  <si>
    <t>Įrengti  valstybinės reikšmės kelių nuorodas į savivaldybės kultūros paveldo objektus, informacinį stendą Lietuvos partizanų vadavietėje (Truskavos sen.) bei tipines informacines lenteles prie Antrojo pasaulinio karo Sovietų Sąjungos karių palaidojimo vietų</t>
  </si>
  <si>
    <t>80.7.6</t>
  </si>
  <si>
    <t>Atlikti Paberžės klebonijos, svirno ir bažnyčios tvoros restauravimo ir remonto darbus</t>
  </si>
  <si>
    <t>80.7.7</t>
  </si>
  <si>
    <t>Apšviesti senamiesčio objektų fasadus</t>
  </si>
  <si>
    <t>06.04.01.01</t>
  </si>
  <si>
    <t>80.7.8</t>
  </si>
  <si>
    <t xml:space="preserve">Atlikti archeologinius tyrinėjimus kultūros paveldo teritorijose </t>
  </si>
  <si>
    <t>80.7.9</t>
  </si>
  <si>
    <t>Parengti 1863 m. sukilimo muziejaus stogo tvarkybos projektą (įskaitant cokolio bei įėjimo į pastatą turėklų defektų ištaisymą  ir atlikti darbus)</t>
  </si>
  <si>
    <t>80.7.10</t>
  </si>
  <si>
    <t>Atlikti kultūros paveldo objektų tvarkybos darbus seniūnijose</t>
  </si>
  <si>
    <t>80.7.11</t>
  </si>
  <si>
    <t>Kompleksiškai sutvarkyti Kėdainių miesto upių prieigas, sukuriant patrauklias viešąsias erdves bendruomenei ir verslui</t>
  </si>
  <si>
    <t>80.7.12</t>
  </si>
  <si>
    <t>Kompleksiškai sutvarkyti ir pritaikyti bendruomenei ir verslui Kėdainių miesto viešąsias erdves (Kėdainių miesto, Vytauto parko, universalaus daugiafunkcio aikštyno, lauko teniso kortų prieigas)</t>
  </si>
  <si>
    <t>80.7.13</t>
  </si>
  <si>
    <t>Kompleksiškai sutvarkyti Kėdainių miesto maudymvietes ir poilsio zonas</t>
  </si>
  <si>
    <t>80.7.14</t>
  </si>
  <si>
    <t xml:space="preserve">Įrengti pėsčiųjų ir dviračių takus Pramonės g. Kėdainių mieste  </t>
  </si>
  <si>
    <t>04.05.01.02</t>
  </si>
  <si>
    <t>80.7.15</t>
  </si>
  <si>
    <t xml:space="preserve">Įrengti elektromobilių įkrovimo prieigas Kėdainių mieste     </t>
  </si>
  <si>
    <t>80.7.16</t>
  </si>
  <si>
    <t>Atlikti "Vaivorykštės" tilto remonto darbus</t>
  </si>
  <si>
    <t>80.7.17</t>
  </si>
  <si>
    <t xml:space="preserve">Parengti projektus ir remontuoti koplytėles ir koplystulpius (Labūnavos, Pagirių, Pilionių, Šėtos, Aukupėnų: koplyststulpiai: Šlapaberžės, Pašėtės, Gumbių) </t>
  </si>
  <si>
    <t>lieka 1500</t>
  </si>
  <si>
    <t>07</t>
  </si>
  <si>
    <t>INFRASTRUKTŪROS OBJEKTŲ  PRIEŽIŪRA IR PLĖTRA</t>
  </si>
  <si>
    <t>Kėdainių rajono savivaldybės administracija iš viso :</t>
  </si>
  <si>
    <t>82.1</t>
  </si>
  <si>
    <t>82.1.1</t>
  </si>
  <si>
    <t>Rengti specialiuosius, detaliuosius, geodezinius planus bei  topografines nuotraukas</t>
  </si>
  <si>
    <t>04.09.01.01</t>
  </si>
  <si>
    <t>82.1.2</t>
  </si>
  <si>
    <t>Atnaujinti Kėdainių rajono teritorijos bendrąjį planą</t>
  </si>
  <si>
    <t>82.1.3</t>
  </si>
  <si>
    <t>Atnaujinti Kėdainių miesto teritorijos bendrąjį planą</t>
  </si>
  <si>
    <t>82.1.4</t>
  </si>
  <si>
    <t xml:space="preserve">Atlikti turto inventorizavimą, teisinę registraciją, parengti  dokumentus turto privatizavimui </t>
  </si>
  <si>
    <t>01.06.01.02</t>
  </si>
  <si>
    <t>82.1.5</t>
  </si>
  <si>
    <t xml:space="preserve">Rengti infrastruktūros objektų tvarkymo investicinius projektus, paraiškas, kitą techninę dokumentaciją  Europos Sąjungos fondų paramai gauti </t>
  </si>
  <si>
    <t>82.1.6</t>
  </si>
  <si>
    <t>Parengti Kėdainių rajono strateginį plėtros planą iki 2030 metų</t>
  </si>
  <si>
    <t>82.1.7</t>
  </si>
  <si>
    <t>Atnaujinti šilumos ūkio specialųjį planą</t>
  </si>
  <si>
    <t>04.03.06.01</t>
  </si>
  <si>
    <t>82.1.8</t>
  </si>
  <si>
    <t>Parengti vietinės reikšmės kelių tinklo išdėstymo Kėdainių rajono savivaldybėje žemėtvarkos schemos keitimą</t>
  </si>
  <si>
    <t>82.1.9</t>
  </si>
  <si>
    <t>Rekonstruoti ir plėsti vandentiekio ir buitinių nuotekų infrastruktūrą Šėtos miestelyje, Kunionių kaime bei Kėdainių mieste</t>
  </si>
  <si>
    <t>06.03.01.01</t>
  </si>
  <si>
    <t>82.1.10</t>
  </si>
  <si>
    <t>Rekonstruoti ir plėsti Kėdainių miesto paviršinių nuotekų tinklus</t>
  </si>
  <si>
    <t xml:space="preserve">05.02.01.01
</t>
  </si>
  <si>
    <t>82.1.11</t>
  </si>
  <si>
    <t xml:space="preserve">Įrengti ir išplėsti vandentiekio ir buitinių nuotekų tinklus Surviliškio kaime </t>
  </si>
  <si>
    <t xml:space="preserve">05.02.01.01 06.03.01.01 </t>
  </si>
  <si>
    <t>82.1.12</t>
  </si>
  <si>
    <t xml:space="preserve">Parengti buitinių nuotekų tinklų išplėtimo Pavermenio kaime techninį projektą </t>
  </si>
  <si>
    <t>05.02.01.01</t>
  </si>
  <si>
    <t>82.1.13</t>
  </si>
  <si>
    <t>Remontuoti objektus pagal administracijos direktoriaus įsakymus</t>
  </si>
  <si>
    <t>82.1.14</t>
  </si>
  <si>
    <t>Likviduoti avarinius židinius</t>
  </si>
  <si>
    <t>82.1.15</t>
  </si>
  <si>
    <t xml:space="preserve">Išplėsti vandentiekio ir nuotekų tinklus Dotnuvos miestelio Vytauto g. </t>
  </si>
  <si>
    <t>82.1.16</t>
  </si>
  <si>
    <t>Išplėsti nuotekų tinklus Aukštųjų Kaplių k. Liepų g. ir įrengti siurblinę</t>
  </si>
  <si>
    <t>82.1.17</t>
  </si>
  <si>
    <t>Prijungti privačius namus prie nuotekų surinkimo infrastruktūros Kėdainių miesto aglomeracijoje</t>
  </si>
  <si>
    <t>iš jų: valstybės biudžeto tikslinė dotacija</t>
  </si>
  <si>
    <t>82.1.18</t>
  </si>
  <si>
    <t>Parengti vandentiekio ir nuotekų tinklų išplėtimo Angirių k. techninę dokumentaciją ir atlikti darbus</t>
  </si>
  <si>
    <t>82.1.19</t>
  </si>
  <si>
    <t xml:space="preserve">Įrengti biologinius nuotekų valymo įrenginius </t>
  </si>
  <si>
    <t>82.1.20</t>
  </si>
  <si>
    <t xml:space="preserve">Rekonstruoti/įrengti/modernizuoti Kėdainių miesto gatvių apšvietimą </t>
  </si>
  <si>
    <t>82.1.21</t>
  </si>
  <si>
    <t>Rekonstruoti/įrengti/modernizuoti Kėdainių rajono gatvių apšvietimą</t>
  </si>
  <si>
    <t>82.1.22</t>
  </si>
  <si>
    <t>Atnaujinti/išplėsti apšvietimo inžinerinius tinklus Kėdainių rajono savivaldybės administracijos seniūnijose</t>
  </si>
  <si>
    <t>82.1.23</t>
  </si>
  <si>
    <t xml:space="preserve">Rekonstruoti šaligatvius, įgyvendinant projektą „Kėdainių miesto J.Basanavičiaus, Birutės, Dotnuvos, Kauno,  ir Šėtos gatvių rekonstrukcija“ </t>
  </si>
  <si>
    <t>82.1.24</t>
  </si>
  <si>
    <t>Įgyvendinti projektą „Kėdainių miesto A. Kanapinsko, P. Lukšio, Mindaugo, Pavasario ir Žemaitės gatvių rekonstrukcija“</t>
  </si>
  <si>
    <t>04.05.01.02 06.04.01.01</t>
  </si>
  <si>
    <t>82.1.25</t>
  </si>
  <si>
    <t xml:space="preserve">Įrengti taką tarp Gegučių g. ir Pavasario g. </t>
  </si>
  <si>
    <t>82.1.26</t>
  </si>
  <si>
    <t xml:space="preserve">Rekonstruoti J.Biliūno g. </t>
  </si>
  <si>
    <t>82.1.27</t>
  </si>
  <si>
    <t>Remontuoti biudžetinių įstaigų kiemus</t>
  </si>
  <si>
    <t>82.1.28</t>
  </si>
  <si>
    <t>Finansuoti inžinierines paslaugas, darbus ir įrengimus</t>
  </si>
  <si>
    <t>82.1.29</t>
  </si>
  <si>
    <t>Naujai nutiesti gatvės dalį Kėdainių mieste (T. Bružaitės g.)</t>
  </si>
  <si>
    <t>82.1.30</t>
  </si>
  <si>
    <t>Sutvarkyti  seniūnijų administracinius  pastatus</t>
  </si>
  <si>
    <t>01.03.02.09</t>
  </si>
  <si>
    <t>82.1.31</t>
  </si>
  <si>
    <t>Remontuoti viešųjų ir biudžetinių įstaigų stogus</t>
  </si>
  <si>
    <t>82.1.32</t>
  </si>
  <si>
    <t>Asfaltuoti daugiabučių gyvenamųjų namų kiemus</t>
  </si>
  <si>
    <t>82.1.33</t>
  </si>
  <si>
    <t>Kompleksiškai atnaujinti daugiabučių namų kvartalus (I etapas)</t>
  </si>
  <si>
    <t>04-08</t>
  </si>
  <si>
    <t>82.1.34</t>
  </si>
  <si>
    <t>Kompleksiškai atnaujinti daugiabučių namų kvartalus (II etapas)</t>
  </si>
  <si>
    <t>82.1.35</t>
  </si>
  <si>
    <t>Atnaujinti daugiabučių namų kiemų kietąsias dangas</t>
  </si>
  <si>
    <t>82.1.36</t>
  </si>
  <si>
    <t>Kompleksiškai sutvarkyti Pelėdnagių kaimo viešąsias erdves</t>
  </si>
  <si>
    <t>82.1.37</t>
  </si>
  <si>
    <t>Kompleksiškai sutvarkyti Vilainių kaimo viešąsias erdves</t>
  </si>
  <si>
    <t>82.1.38</t>
  </si>
  <si>
    <t xml:space="preserve">Dalyvauti energinio efektyvumo didinimo daugiabučiuose namuose programoje, kompensuojant Savivaldybei priklausančių būstų renovacijos išlaidas </t>
  </si>
  <si>
    <t>82.1.39</t>
  </si>
  <si>
    <t>Apmokėti Europos Sąjungos projektų, kuriems taikomas apmokėjimas  kompensavimo būdu,  išlaidas</t>
  </si>
  <si>
    <t>82.2</t>
  </si>
  <si>
    <t>05.03.01.01</t>
  </si>
  <si>
    <t>08</t>
  </si>
  <si>
    <t>APLINKOS APSAUGA</t>
  </si>
  <si>
    <t>95.1</t>
  </si>
  <si>
    <t>05.06.01.01</t>
  </si>
  <si>
    <t>95.2</t>
  </si>
  <si>
    <t xml:space="preserve">Aprūpinti pakuočių atliekų surinkimo konteineriais individualias namų valdas </t>
  </si>
  <si>
    <t>05.01.01.01</t>
  </si>
  <si>
    <t>95.3</t>
  </si>
  <si>
    <t>95.3.1</t>
  </si>
  <si>
    <t xml:space="preserve">Finansuoti žvyro įsigijimą seniūnijų keliams prižiūrėti </t>
  </si>
  <si>
    <t>95.3.2</t>
  </si>
  <si>
    <t>Prižiūrėti ir tvarkyti bendro naudojimo teritorijas bei įrangą</t>
  </si>
  <si>
    <t>95.3.3</t>
  </si>
  <si>
    <t>Atnaujinti ir plėsti komunalinių atliekų tvarkymo infrastruktūrą Kėdainių rajono savivaldybėje</t>
  </si>
  <si>
    <t>95.3.4</t>
  </si>
  <si>
    <t>Likviduoti apleistus (bešeimininkius) pastatus ir kitus aplinką žalojančius objektus</t>
  </si>
  <si>
    <t>95.3.5</t>
  </si>
  <si>
    <t>Sutvarkyti atvirais kasiniais pažeistas žemes Kėdainių rajone</t>
  </si>
  <si>
    <t>95.4</t>
  </si>
  <si>
    <t>95.5</t>
  </si>
  <si>
    <t xml:space="preserve">Tvarkyti komunalines atliekas </t>
  </si>
  <si>
    <t>95.6</t>
  </si>
  <si>
    <t>Vykdyti savivaldybės viešųjų teritorijų tvarkymą</t>
  </si>
  <si>
    <t xml:space="preserve">05.01.01.01  05.02.01.01
06.03.01.01                       </t>
  </si>
  <si>
    <t xml:space="preserve">05.01.01.01
06.02.01.01                       </t>
  </si>
  <si>
    <t xml:space="preserve">05.01.01.01               </t>
  </si>
  <si>
    <t>09</t>
  </si>
  <si>
    <t xml:space="preserve"> ŽEMĖS ŪKIO PLĖTRA IR MELIORACIJA</t>
  </si>
  <si>
    <t xml:space="preserve">Kėdainių rajono savivaldybės administracija iš viso </t>
  </si>
  <si>
    <t>108.1</t>
  </si>
  <si>
    <t>108.1.1</t>
  </si>
  <si>
    <t>Rengti projektus ir remontuoti gyvenviečių lietaus kanalizacijos-drenažų sistemas</t>
  </si>
  <si>
    <t>05.02.01.01.</t>
  </si>
  <si>
    <t>10</t>
  </si>
  <si>
    <t>PARAMA VERSLUI IR VERSLO PLĖTRA</t>
  </si>
  <si>
    <t>110.1</t>
  </si>
  <si>
    <t>Finansuoti VšĮ Kėdainių turizmo ir verslo informacijos centro verslo veiklos programą</t>
  </si>
  <si>
    <t>04.01.01.01</t>
  </si>
  <si>
    <t>110.2</t>
  </si>
  <si>
    <t xml:space="preserve">Kėdainių rajono savivaldybės administracija  </t>
  </si>
  <si>
    <t>04.01.02.09</t>
  </si>
  <si>
    <t>11</t>
  </si>
  <si>
    <t>SAVIVALDYBĖS VALDYMO TOBULINIMAS</t>
  </si>
  <si>
    <t>Kėdainių rajono savivaldybės priešgaisrinė tarnyba</t>
  </si>
  <si>
    <t>03.02.01.01</t>
  </si>
  <si>
    <t>Kėdainių rajono savivaldybės kontrolės ir audito tarnyba</t>
  </si>
  <si>
    <t>01.01.01.09</t>
  </si>
  <si>
    <t>114.1</t>
  </si>
  <si>
    <t>01.01.01.02
01.01.01.09
01.03.02.09
01.06.01.02
04.05.06.09 06.06.01.01
06.06.01.09</t>
  </si>
  <si>
    <t>114.2</t>
  </si>
  <si>
    <t xml:space="preserve">Finansuoti prevencinę programą „Saugios aplinkos kūrimas ir bendruomenės teisėtvarkos kūrimas" </t>
  </si>
  <si>
    <t>03.01.01.01</t>
  </si>
  <si>
    <t>114.3</t>
  </si>
  <si>
    <t>Įgyvendinti priemones, finansuojamas iš Savivaldybės administracijos direktoriaus rezervo</t>
  </si>
  <si>
    <t>01.06.01.04</t>
  </si>
  <si>
    <t>114.4</t>
  </si>
  <si>
    <t>Įgyvendinti priemones, finansuojamas iš Savivaldybės mero fondo</t>
  </si>
  <si>
    <t>114.5</t>
  </si>
  <si>
    <t xml:space="preserve">Kompensuoti UAB "Kėdbusas“ nuostolingus maršrutus </t>
  </si>
  <si>
    <t>04.05.01.01</t>
  </si>
  <si>
    <t>114.6</t>
  </si>
  <si>
    <t>Dalyvauti Kauno regionio plėtros agentūros veikloje</t>
  </si>
  <si>
    <t>114.7</t>
  </si>
  <si>
    <t xml:space="preserve">Gerinti Kėdainių rajono savivaldybėje teikiamų paslaugų ir asmenų aptarnavimo kokybę  </t>
  </si>
  <si>
    <t>115.1</t>
  </si>
  <si>
    <t>Palūkanos bankui</t>
  </si>
  <si>
    <t>01.07.01.01</t>
  </si>
  <si>
    <t>01.03.02.09
04.01.02.01</t>
  </si>
  <si>
    <t>iš jų: užimtumo didinimo programai įgyvendinti</t>
  </si>
  <si>
    <t>04.01.02.01</t>
  </si>
  <si>
    <t>Iš viso asignavimų</t>
  </si>
  <si>
    <t xml:space="preserve">                                                               ___________________________________________</t>
  </si>
  <si>
    <t>sodra 7,3</t>
  </si>
  <si>
    <t>papildomai 61,4</t>
  </si>
  <si>
    <t>iš jų įstaigos 61,1</t>
  </si>
  <si>
    <t>programos +0,1+0,2</t>
  </si>
  <si>
    <t>komunalinių atliekų surinkimas 200,0</t>
  </si>
  <si>
    <t>Komunalinių atliekų tvarkymas  120,0</t>
  </si>
  <si>
    <t>Nuotekos 29,2</t>
  </si>
  <si>
    <t>Sinagoga 4,0</t>
  </si>
  <si>
    <t>Truskavos mok.  2,5</t>
  </si>
  <si>
    <t>4 priedas</t>
  </si>
  <si>
    <t xml:space="preserve"> 2019 METŲ ASIGNAVIMAI ĮSTAIGOMS IŠ PAJAMŲ, GAUTŲ UŽ ILGALAIKIO IR TRUMPALAIKIO MATERIALIOJO TURTO NUOMĄ</t>
  </si>
  <si>
    <t>Eil. Nr.</t>
  </si>
  <si>
    <t>Programos Nr.</t>
  </si>
  <si>
    <t>iš viso</t>
  </si>
  <si>
    <t xml:space="preserve">09.02.01.01   </t>
  </si>
  <si>
    <t>Kėdainių "Ryto" progimnazija</t>
  </si>
  <si>
    <t>Kėdainių r. Miegenų pagrindinė mokykla</t>
  </si>
  <si>
    <t>Kėdainių švietimo pagalbos tarnyba</t>
  </si>
  <si>
    <t>09.05.01.03</t>
  </si>
  <si>
    <t xml:space="preserve">01.03.02.09  </t>
  </si>
  <si>
    <t xml:space="preserve">                                                                 ___________________________________________</t>
  </si>
  <si>
    <t>5 priedas</t>
  </si>
  <si>
    <t xml:space="preserve"> 2019 METŲ ASIGNAVIMAI ĮSTAIGOMS IŠ PAJAMŲ, GAUTŲ UŽ PREKES IR PASLAUGAS </t>
  </si>
  <si>
    <t>Įykdyta</t>
  </si>
  <si>
    <t>Kėdainių rajono savivaldybės visuomenės sveikatos biuras</t>
  </si>
  <si>
    <t>07.04.01.02</t>
  </si>
  <si>
    <t>10.01.02.02 10.07.01.01</t>
  </si>
  <si>
    <t>10.09.01.09</t>
  </si>
  <si>
    <t xml:space="preserve">05.01.01.01 </t>
  </si>
  <si>
    <t>06.02.01.01</t>
  </si>
  <si>
    <t xml:space="preserve">                                                             ____________________________________</t>
  </si>
  <si>
    <t>6 priedas</t>
  </si>
  <si>
    <t>2019 METŲ ASIGNAVIMAI ĮSTAIGOMS IŠ PAJAMŲ, GAUTŲ UŽ IŠLAIKYMĄ ŠVIETIMO, SOCIALINĖS APSAUGOS IR KITOSE ĮSTAIGOSE</t>
  </si>
  <si>
    <t xml:space="preserve">Šėtos socialinis ir ugdymo centras </t>
  </si>
  <si>
    <t xml:space="preserve">                                                                    ___________________________________________</t>
  </si>
  <si>
    <t xml:space="preserve">KĖDAINIŲ RAJONO SAVIVALDYBĖS 2019 METŲ BIUDŽETO ASIGNAVIMAI PROJEKTAMS FINANSUOTI EUROPOS SĄJUNGOS LĖŠOMIS </t>
  </si>
  <si>
    <t>Iš jų:</t>
  </si>
  <si>
    <t>Išlaidoms</t>
  </si>
  <si>
    <t>Turtui įsigyti</t>
  </si>
  <si>
    <t>Iš jų darbo užmokesčiui</t>
  </si>
  <si>
    <t>NVŠ L.0,4+194,1 2019 m. pajamos</t>
  </si>
  <si>
    <t>Kėdainių rajono savivaldybės administracija iš viso:</t>
  </si>
  <si>
    <t>3.1</t>
  </si>
  <si>
    <t>3.2</t>
  </si>
  <si>
    <t>3.3</t>
  </si>
  <si>
    <t>3.4</t>
  </si>
  <si>
    <t>4</t>
  </si>
  <si>
    <t>5</t>
  </si>
  <si>
    <t>5.1</t>
  </si>
  <si>
    <t>6</t>
  </si>
  <si>
    <t>8.1</t>
  </si>
  <si>
    <t>8.2</t>
  </si>
  <si>
    <t>8.3</t>
  </si>
  <si>
    <t>Teikti kompleksines paslaugas šeimai Kėdainių rajone</t>
  </si>
  <si>
    <t>10.04.01.40</t>
  </si>
  <si>
    <t>8.4</t>
  </si>
  <si>
    <t>Įgyvendinti vaikų gerovės ir saugumo didinimą, paslaugų šeimai, globėjams (rūpintojams) kokybės didinimą bei prieinamumo plėtrą</t>
  </si>
  <si>
    <t>8.5</t>
  </si>
  <si>
    <t>Bendruomeninių vaikų globos namų įkūrimas ir vaikų dienos centrų tinklo plėtra Kėdainių rajono savivaldybėje</t>
  </si>
  <si>
    <t>9</t>
  </si>
  <si>
    <t>11.1</t>
  </si>
  <si>
    <t>11.2</t>
  </si>
  <si>
    <t>Sutvarkyti/sukurti atviras viešąsias erdves Kėdainių rajono savivaldybės administracijos seniūnijose, pritaikant jas kaimo bendruomenės poreikiams bei laisvalaikiui</t>
  </si>
  <si>
    <t>13.1</t>
  </si>
  <si>
    <t>13.2</t>
  </si>
  <si>
    <t>13.3</t>
  </si>
  <si>
    <t>13.4</t>
  </si>
  <si>
    <t>15.1</t>
  </si>
  <si>
    <t xml:space="preserve">04.07.03.01. </t>
  </si>
  <si>
    <t>15.2</t>
  </si>
  <si>
    <t>Kompleksiškai sutvaryti Kėdainių Sinagogą (Smilgos g. 5A, Kėdainiai), pritaikant kultūrinėms bei kitoms reikmėms</t>
  </si>
  <si>
    <t>15.3</t>
  </si>
  <si>
    <t>15.4</t>
  </si>
  <si>
    <t>04.07.03.01.</t>
  </si>
  <si>
    <t>15.5</t>
  </si>
  <si>
    <t>15.6</t>
  </si>
  <si>
    <t>15.7</t>
  </si>
  <si>
    <t xml:space="preserve">Įrengti nemokamą belaidį internetą miesto viešosiose erdvėse </t>
  </si>
  <si>
    <t>04.06.01.01</t>
  </si>
  <si>
    <t>15.8</t>
  </si>
  <si>
    <t>16</t>
  </si>
  <si>
    <t>18.1</t>
  </si>
  <si>
    <t>18.2</t>
  </si>
  <si>
    <t>04.05.01.02
06.04.01.01</t>
  </si>
  <si>
    <t>18.3</t>
  </si>
  <si>
    <t>18.4</t>
  </si>
  <si>
    <t>18.5</t>
  </si>
  <si>
    <t>18.6</t>
  </si>
  <si>
    <t>20.1</t>
  </si>
  <si>
    <t>20.2</t>
  </si>
  <si>
    <t>20.3</t>
  </si>
  <si>
    <t>20.4</t>
  </si>
  <si>
    <t>Įgyvendinti potvynių rizikos mažinimo priemones Kėdainių rajone</t>
  </si>
  <si>
    <t>22.1</t>
  </si>
  <si>
    <t>Likutis</t>
  </si>
  <si>
    <t>Pajamos</t>
  </si>
  <si>
    <t>2019 METŲ VALSTYBĖS BIUDŽETO SPECIALIOS TIKSLINĖS DOTACIJOS SAVIVALDYBĖS BIUDŽETUI VALSTYBINĖMS (VALSTYBĖS PERDUOTOMS SAVIVALDYBEI) FUNKCIJOMS ATLIKTI ASIGNAVIMAI</t>
  </si>
  <si>
    <t>Funkcinis kodas</t>
  </si>
  <si>
    <t>02.1</t>
  </si>
  <si>
    <t>Mokinių visuomenės sveikatos priežiūrai</t>
  </si>
  <si>
    <t>02.2</t>
  </si>
  <si>
    <t>Visuomenės sveikatos stiprinimui ir stebėsenai</t>
  </si>
  <si>
    <t>02.3</t>
  </si>
  <si>
    <t>Visuomenės psichikos sveikatos gerinimui</t>
  </si>
  <si>
    <t>02.4</t>
  </si>
  <si>
    <t>Neveiksnių asmenų būklės peržiūrėjimui</t>
  </si>
  <si>
    <t>03.1</t>
  </si>
  <si>
    <t>Socialinėms paslaugoms:
Socialinei globai asmenims su sunkia negalia</t>
  </si>
  <si>
    <t xml:space="preserve"> iš jų: finansuoti dienos socialinės globos paslaugas Kėdainių socialinės globos namuose</t>
  </si>
  <si>
    <t>03.2</t>
  </si>
  <si>
    <t>Socialinėms paslaugoms:
 Socialinei priežiūrai socialinės rizikos šeimoms</t>
  </si>
  <si>
    <t>03.3</t>
  </si>
  <si>
    <t>Socialinių išmokų ir kompensacijų skaičiavimas ir mokėjimas</t>
  </si>
  <si>
    <t xml:space="preserve">10.03.01.01
10.07.01.01
10.09.01.09 </t>
  </si>
  <si>
    <t>03.4</t>
  </si>
  <si>
    <t>Išlaidoms už įsigytus produktus, mokinio reikmenis ir socialinei paramai mokiniams administruoti</t>
  </si>
  <si>
    <t>03.5</t>
  </si>
  <si>
    <t>Būsto nuomos ar išperkamosios būsto nuomos mokesčių dalies kompensacijoms</t>
  </si>
  <si>
    <t>09.1</t>
  </si>
  <si>
    <t>Žemės ūkio funkcijoms vykdyti</t>
  </si>
  <si>
    <t>04.02.01.04</t>
  </si>
  <si>
    <t>09.2</t>
  </si>
  <si>
    <t>Kėdainių rajono savivaldybės 2018 m. valstybei nuosavybės teise priklausančių melioracijos statinių priežiūrai ir remonto darbams įskaitant priešprojektinius tyrinėjimus, techninės sąmatinės dokumentacijos sudarymą, ekspertizę, darbų techninę priežiūrą bei kitus susijusius darbus</t>
  </si>
  <si>
    <t>iš jų: polderiams eksploatuoti</t>
  </si>
  <si>
    <t>04.02.01.01</t>
  </si>
  <si>
    <t>61</t>
  </si>
  <si>
    <t>Tvarkyti erdvinių duomenų rinkinį</t>
  </si>
  <si>
    <t>04.02.01.02</t>
  </si>
  <si>
    <t>62</t>
  </si>
  <si>
    <t>63</t>
  </si>
  <si>
    <t>64</t>
  </si>
  <si>
    <t>Priešgaisrinių tarnybų organizavimas</t>
  </si>
  <si>
    <t>65</t>
  </si>
  <si>
    <t>66</t>
  </si>
  <si>
    <t>Gyventojų registro tvarkymas ir duomenų valstybės registrui teikimas</t>
  </si>
  <si>
    <t>01.03.03.02</t>
  </si>
  <si>
    <t>67</t>
  </si>
  <si>
    <t>68</t>
  </si>
  <si>
    <t>11.3</t>
  </si>
  <si>
    <t>Archyvinių dokumentų tvarkymas</t>
  </si>
  <si>
    <t>69</t>
  </si>
  <si>
    <t>70</t>
  </si>
  <si>
    <t>11.4</t>
  </si>
  <si>
    <t>Civilinės būklės aktų registravimas</t>
  </si>
  <si>
    <t>71</t>
  </si>
  <si>
    <t>72</t>
  </si>
  <si>
    <t>11.5</t>
  </si>
  <si>
    <t>Civilinės saugos organizavimas</t>
  </si>
  <si>
    <t>02.02.01.01</t>
  </si>
  <si>
    <t>73</t>
  </si>
  <si>
    <t>74</t>
  </si>
  <si>
    <t>11.6</t>
  </si>
  <si>
    <t>Valstybinės kalbos vartojimo ir taisyklingumo kontrolė</t>
  </si>
  <si>
    <t>75</t>
  </si>
  <si>
    <t>76</t>
  </si>
  <si>
    <t>11.7</t>
  </si>
  <si>
    <t>Mobilizacijos administravimas</t>
  </si>
  <si>
    <t>02.01.01.04</t>
  </si>
  <si>
    <t>taisyti DU</t>
  </si>
  <si>
    <t>78</t>
  </si>
  <si>
    <t>11.9</t>
  </si>
  <si>
    <t>Jaunimo teisių apsauga</t>
  </si>
  <si>
    <t>79</t>
  </si>
  <si>
    <t>80</t>
  </si>
  <si>
    <t>11.10</t>
  </si>
  <si>
    <t>Pirminė teisinė pagalba</t>
  </si>
  <si>
    <t>81</t>
  </si>
  <si>
    <t>82</t>
  </si>
  <si>
    <t>11.11</t>
  </si>
  <si>
    <t>Duomenų teikimas Valstybės suteiktos pagalbos registrui</t>
  </si>
  <si>
    <t>83</t>
  </si>
  <si>
    <t>84</t>
  </si>
  <si>
    <t>11.12</t>
  </si>
  <si>
    <t>Gyvenamosios vietos deklaravimas</t>
  </si>
  <si>
    <t>85</t>
  </si>
  <si>
    <t>86</t>
  </si>
  <si>
    <t>87</t>
  </si>
  <si>
    <t>11.13</t>
  </si>
  <si>
    <t>Užimtumo didinimo programos įgyvendinimas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</si>
  <si>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</si>
  <si>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</si>
  <si>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</si>
  <si>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</si>
  <si>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</si>
  <si>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</si>
  <si>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</si>
  <si>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</si>
  <si>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</si>
  <si>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</si>
  <si>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</si>
  <si>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</si>
  <si>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11.14</t>
  </si>
  <si>
    <t>Valstybinės žemės ir kito valstybinio turto valdymas, naudojimas ir disponavimas juo patikėjimo teise</t>
  </si>
  <si>
    <t>01.06.01.03</t>
  </si>
  <si>
    <t>100</t>
  </si>
  <si>
    <t>101</t>
  </si>
  <si>
    <t xml:space="preserve">                                                                                               ________________________________</t>
  </si>
  <si>
    <t>9  priedas</t>
  </si>
  <si>
    <t>2019 METŲ VALSTYBĖS BIUDŽETO SPECIALIOS TIKSLINĖS DOTACIJOS SAVIVALDYBĖS BIUDŽETUI UGDYMO REIKMĖMS FINANSUOTI ASIGNAVIMAI</t>
  </si>
  <si>
    <t>iš jų</t>
  </si>
  <si>
    <t>Įvyksyta</t>
  </si>
  <si>
    <t>3</t>
  </si>
  <si>
    <t>Specialioji tikslinė dotacija ugdymo reikmėms finansuoti</t>
  </si>
  <si>
    <t>09.02.01.01
09.02.02.01</t>
  </si>
  <si>
    <t>Kėdainių švietimo pagalbos tarnyba iš viso:</t>
  </si>
  <si>
    <t>30.1</t>
  </si>
  <si>
    <t xml:space="preserve">     Kėdainių švietimo pagalbos tarnyba (pedagoginė - psichologinė tarnyba)</t>
  </si>
  <si>
    <t>30.2</t>
  </si>
  <si>
    <t xml:space="preserve">     Organizuoti ir vykdyti mokymosi pasiekimų patikrinimus</t>
  </si>
  <si>
    <t>30.3</t>
  </si>
  <si>
    <t xml:space="preserve">     VšĮ alternatyviojo ugdymo centras</t>
  </si>
  <si>
    <t>30.4</t>
  </si>
  <si>
    <t xml:space="preserve">     VšĮ „Pažinimo taku“</t>
  </si>
  <si>
    <t>Šėtos socialinis ir ugdymo centras</t>
  </si>
  <si>
    <t xml:space="preserve">                                                                                         ___________________________</t>
  </si>
  <si>
    <t xml:space="preserve">2019 METŲ VALSTYBĖS BIUDŽETO SPECIALIOS TIKSLINĖS DOTACIJOS SAVIVALDYBĖS BIUDŽETUI KITI ASIGNAVIMAI </t>
  </si>
  <si>
    <t>01.1</t>
  </si>
  <si>
    <t>Speciali tikslinė dotacija mokyklos specialiųjų ugdymosi poreikių turintiems mokiniams</t>
  </si>
  <si>
    <t>01.2</t>
  </si>
  <si>
    <t>Specialioji tikslinė dotacija valstybės investicijų 2019 m. programoje numatytoms kapitalo investicijoms</t>
  </si>
  <si>
    <t>Rekonstruoti Kėdainių Šviesiosios gimnazijos pastato Kėdainiuose, Didžioji g. 60</t>
  </si>
  <si>
    <t>5.2.</t>
  </si>
  <si>
    <t>01.3</t>
  </si>
  <si>
    <t>Speciali tikslinė dotacija tarpinstitucinio bendradarbiavimo koordinatoriaus pareigybei išlaikyti</t>
  </si>
  <si>
    <t>09.08.01.09</t>
  </si>
  <si>
    <t>10.1</t>
  </si>
  <si>
    <t>Lifto įrengimas ir prieigų apie jį sutvarkymas gydymo paskirties pastate (VšĮ Kėdainių ligoninės odontologiniame-laboratoriniame korpuse) Kėdainiuose, Budrio g. 5</t>
  </si>
  <si>
    <t xml:space="preserve">Rekonstruoti Kėdainių miesto stadioną ir atsargines futbolo, aktyvaus poilsio aikštes bei mašinų stovėjimo aikštelę šalia stadiono </t>
  </si>
  <si>
    <t xml:space="preserve">Specialioji tikslinė dotacija vietinės reikšmės keliams (gatvėms) tiesti, taisyti (rekonstruoti), prižiūrėti ir saugaus eismo sąlygoms užtikrinti </t>
  </si>
  <si>
    <t>Kėdainių miesto Pramonės gatvei (Nr. KDG088) rekonstruoti</t>
  </si>
  <si>
    <t>Kėdainių miesto Sodininkų gatvei (Nr. KDG-108), esančiai sodininkų bendrijos teritorijoje „Justinava“, taisyti (remontuoti)</t>
  </si>
  <si>
    <t>Kėdainių miesto Miško gatvei (Nr. KDG-072), esančiai sodininkų bendrijos teritorijoje „Justinava“, taisyti (remontuoti)</t>
  </si>
  <si>
    <t>Specialioji tikslinė dotacija vietinės reikšmės keliams su žvyro danga asfaltuoti</t>
  </si>
  <si>
    <t>Josvainių seniūnijos Angirių kaimo Užtvankos gatvei (Nr. JSG006) kapitališkai remontuoti</t>
  </si>
  <si>
    <t>Vilainių seniūnijos Vilainių kaimo Žemdirbių gatvei (Nr. VLG085) kapitališkai remontuoti</t>
  </si>
  <si>
    <t>Vilainių seniūnijos Vilainių kaimo Nevėžio gatvei (Nr. VLG077) kapitališkai remontuoti</t>
  </si>
  <si>
    <t>Gudžiūnų seniūnijos Miegėnų kaimo Nykio gatvei (Nr. GDG029) kapitališkai remontuoti</t>
  </si>
  <si>
    <t>20.5</t>
  </si>
  <si>
    <t>Pernaravos seniūnijos Žostautų kaimo vietinės reikšmės keliui Nr. PR-6 privažiavimui nuo VRK Nr. 2014 iki Žostautų ir kelio PR-7 kapitališkai remontuoti</t>
  </si>
  <si>
    <t>2019 METŲ VALSTYBĖS BIUDŽETO DOTACIJOS IŠ KITŲ VALDYMO LYGIŲ SAVIVALDYBĖS BIUDŽETUI PROJEKTAMS FINANSUOTI  ASIGNAVIMAI</t>
  </si>
  <si>
    <t>2.1</t>
  </si>
  <si>
    <t>2.2</t>
  </si>
  <si>
    <t>2.3</t>
  </si>
  <si>
    <t>4.1</t>
  </si>
  <si>
    <t>7.1</t>
  </si>
  <si>
    <t>9.1</t>
  </si>
  <si>
    <t>9.2</t>
  </si>
  <si>
    <t>9.3</t>
  </si>
  <si>
    <t>iš jų: infrastruktūros projektų nuosavam indėliui užtikrinti</t>
  </si>
  <si>
    <t xml:space="preserve"> Kompleksiškai sutvarkyti ir pritaikyti bendruomenei ir verslui Kėdainių miesto viešąsias erdves (Kėdainių miesto, Vytauto parko, universalaus daugiafunkcio aikštyno, lauko teniso kortų prieigas)</t>
  </si>
  <si>
    <t>12</t>
  </si>
  <si>
    <t>13</t>
  </si>
  <si>
    <t>13.5</t>
  </si>
  <si>
    <t>13.6</t>
  </si>
  <si>
    <t>1 priedas</t>
  </si>
  <si>
    <t xml:space="preserve">                                                                                                                                                                                              Kėdainių rajono savivaldybės tarybos</t>
  </si>
  <si>
    <t>2 priedas</t>
  </si>
  <si>
    <t>7  priedas</t>
  </si>
  <si>
    <t>8  priedas</t>
  </si>
  <si>
    <t xml:space="preserve">                                                                                                                                                                                               Kėdainių rajono savivaldybės tarybos</t>
  </si>
  <si>
    <t xml:space="preserve">                                                                                                                                                                                                                     Kėdainių rajono savivaldybės tarybos</t>
  </si>
  <si>
    <t xml:space="preserve">                                                                                                                                                                                         Kėdainių rajono savivaldybės tarybos</t>
  </si>
  <si>
    <t xml:space="preserve">                                                                                                                                                                                      Kėdainių rajono savivaldybės tarybos</t>
  </si>
  <si>
    <t xml:space="preserve">                                                                                                                                                                                                         Kėdainių rajono savivaldybės tarybos</t>
  </si>
  <si>
    <t xml:space="preserve">                                                                                                                                                                                            Kėdainių rajono savivaldybės tarybos</t>
  </si>
  <si>
    <t xml:space="preserve">                                                                                                                                                                                       Kėdainių rajono savivaldybės tarybos</t>
  </si>
  <si>
    <t xml:space="preserve">                                                                                        2020 m. liepos 3 d. sprendimo Nr. TS-138</t>
  </si>
  <si>
    <t xml:space="preserve">                                                                                       2020 m. liepos 3 d. sprendimo Nr. TS-138</t>
  </si>
  <si>
    <t xml:space="preserve">                                                                                       2020 m. liepos 3. sprendimo Nr. TS-138</t>
  </si>
  <si>
    <t xml:space="preserve">                                                                           2020 m. liepos 3 d. sprendimo Nr. TS-138</t>
  </si>
  <si>
    <t xml:space="preserve">                                                                                     2020 m. liepos 3 d. sprendimo Nr. TS-138</t>
  </si>
  <si>
    <t xml:space="preserve">                                                                                      2020 m. liepos 3 d. sprendimo Nr. TS-138</t>
  </si>
  <si>
    <t xml:space="preserve">                                                                               2020 m. liepos 3 d. sprendimo Nr. TS-138</t>
  </si>
  <si>
    <t xml:space="preserve">                                                                          2020 m. liepos 3 d. sprendimo Nr. TS-138</t>
  </si>
  <si>
    <t xml:space="preserve">                                                                                                                                                                                              2020 m. liepos 3 d. sprendimo Nr. TS-138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</si>
</sst>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0.0_ ;\-0.0\ "/>
    <numFmt numFmtId="165" formatCode="#,##0.0_ ;\-#,##0.0\ "/>
    <numFmt numFmtId="166" formatCode="0.0"/>
    <numFmt numFmtId="167" formatCode="0.0;\-0.0;"/>
    <numFmt numFmtId="168" formatCode="#,##0.0"/>
    <numFmt numFmtId="169" formatCode="0.0;\-0.0;;"/>
    <numFmt numFmtId="170" formatCode="0.0_);[Red]\(0.0\)"/>
  </numFmts>
  <fonts count="15" x14ac:knownFonts="1">
    <font>
      <sz val="11"/>
      <color theme="1"/>
      <name val="Calibri"/>
      <family val="2"/>
      <charset val="186"/>
      <scheme val="minor"/>
    </font>
    <font>
      <sz val="10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b/>
      <sz val="9"/>
      <name val="Times New Roman"/>
      <family val="1"/>
    </font>
    <font>
      <sz val="8"/>
      <name val="Times New Roman"/>
      <family val="1"/>
    </font>
    <font>
      <b/>
      <i/>
      <sz val="10"/>
      <name val="Times New Roman"/>
      <family val="1"/>
    </font>
    <font>
      <sz val="10"/>
      <color rgb="FFFF0000"/>
      <name val="Times New Roman"/>
      <family val="1"/>
    </font>
    <font>
      <i/>
      <sz val="10"/>
      <name val="Times New Roman"/>
      <family val="1"/>
    </font>
    <font>
      <b/>
      <sz val="10"/>
      <name val="Times New Roman"/>
      <family val="1"/>
      <charset val="186"/>
    </font>
    <font>
      <b/>
      <sz val="11"/>
      <name val="Times New Roman"/>
      <family val="1"/>
    </font>
    <font>
      <sz val="9"/>
      <name val="Times New Roman"/>
      <family val="1"/>
    </font>
    <font>
      <sz val="10"/>
      <name val="Arial"/>
      <family val="2"/>
    </font>
    <font>
      <b/>
      <sz val="8"/>
      <name val="Times New Roman"/>
      <family val="1"/>
    </font>
    <font>
      <b/>
      <i/>
      <sz val="1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6">
    <xf numFmtId="0" fontId="0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" fillId="0" borderId="0"/>
  </cellStyleXfs>
  <cellXfs count="296">
    <xf numFmtId="0" fontId="0" fillId="0" borderId="0" xfId="0"/>
    <xf numFmtId="0" fontId="1" fillId="0" borderId="0" xfId="0" applyFont="1" applyFill="1" applyAlignment="1">
      <alignment horizontal="right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/>
    <xf numFmtId="0" fontId="1" fillId="0" borderId="0" xfId="0" applyFont="1" applyFill="1" applyAlignment="1">
      <alignment vertical="center"/>
    </xf>
    <xf numFmtId="49" fontId="1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right" vertical="center"/>
    </xf>
    <xf numFmtId="164" fontId="1" fillId="0" borderId="0" xfId="0" applyNumberFormat="1" applyFont="1" applyFill="1"/>
    <xf numFmtId="0" fontId="3" fillId="0" borderId="13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right" vertical="center"/>
    </xf>
    <xf numFmtId="49" fontId="3" fillId="0" borderId="13" xfId="0" applyNumberFormat="1" applyFont="1" applyFill="1" applyBorder="1" applyAlignment="1">
      <alignment horizontal="center" vertical="center"/>
    </xf>
    <xf numFmtId="49" fontId="3" fillId="0" borderId="13" xfId="0" applyNumberFormat="1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right" vertical="center"/>
    </xf>
    <xf numFmtId="0" fontId="3" fillId="0" borderId="13" xfId="0" applyFont="1" applyFill="1" applyBorder="1" applyAlignment="1">
      <alignment horizontal="left" vertical="center" wrapText="1"/>
    </xf>
    <xf numFmtId="165" fontId="3" fillId="0" borderId="13" xfId="0" applyNumberFormat="1" applyFont="1" applyFill="1" applyBorder="1" applyAlignment="1">
      <alignment horizontal="center" vertical="center" wrapText="1"/>
    </xf>
    <xf numFmtId="49" fontId="1" fillId="0" borderId="13" xfId="0" applyNumberFormat="1" applyFont="1" applyFill="1" applyBorder="1" applyAlignment="1">
      <alignment horizontal="center" vertical="center"/>
    </xf>
    <xf numFmtId="166" fontId="1" fillId="0" borderId="13" xfId="0" applyNumberFormat="1" applyFont="1" applyFill="1" applyBorder="1" applyAlignment="1">
      <alignment vertical="center"/>
    </xf>
    <xf numFmtId="49" fontId="1" fillId="0" borderId="13" xfId="0" applyNumberFormat="1" applyFont="1" applyFill="1" applyBorder="1" applyAlignment="1">
      <alignment horizontal="center" vertical="center" wrapText="1"/>
    </xf>
    <xf numFmtId="167" fontId="1" fillId="0" borderId="13" xfId="1" applyNumberFormat="1" applyFont="1" applyFill="1" applyBorder="1" applyAlignment="1">
      <alignment horizontal="right" vertical="center"/>
    </xf>
    <xf numFmtId="167" fontId="1" fillId="0" borderId="13" xfId="0" applyNumberFormat="1" applyFont="1" applyFill="1" applyBorder="1" applyAlignment="1">
      <alignment horizontal="right" vertical="center"/>
    </xf>
    <xf numFmtId="165" fontId="1" fillId="0" borderId="13" xfId="0" applyNumberFormat="1" applyFont="1" applyFill="1" applyBorder="1" applyAlignment="1">
      <alignment horizontal="right" vertical="center" wrapText="1"/>
    </xf>
    <xf numFmtId="166" fontId="1" fillId="0" borderId="0" xfId="0" applyNumberFormat="1" applyFont="1" applyFill="1"/>
    <xf numFmtId="165" fontId="1" fillId="0" borderId="0" xfId="0" applyNumberFormat="1" applyFont="1" applyFill="1"/>
    <xf numFmtId="0" fontId="1" fillId="0" borderId="13" xfId="0" applyFont="1" applyFill="1" applyBorder="1" applyAlignment="1">
      <alignment vertical="center"/>
    </xf>
    <xf numFmtId="0" fontId="1" fillId="0" borderId="2" xfId="0" applyFont="1" applyFill="1" applyBorder="1" applyAlignment="1">
      <alignment horizontal="right" vertical="center"/>
    </xf>
    <xf numFmtId="49" fontId="1" fillId="0" borderId="2" xfId="0" applyNumberFormat="1" applyFont="1" applyFill="1" applyBorder="1" applyAlignment="1">
      <alignment horizontal="center" vertical="center"/>
    </xf>
    <xf numFmtId="166" fontId="1" fillId="0" borderId="13" xfId="0" applyNumberFormat="1" applyFont="1" applyFill="1" applyBorder="1" applyAlignment="1">
      <alignment vertical="center" wrapText="1"/>
    </xf>
    <xf numFmtId="0" fontId="1" fillId="2" borderId="13" xfId="0" applyFont="1" applyFill="1" applyBorder="1" applyAlignment="1">
      <alignment horizontal="right" vertical="center"/>
    </xf>
    <xf numFmtId="49" fontId="1" fillId="2" borderId="13" xfId="0" applyNumberFormat="1" applyFont="1" applyFill="1" applyBorder="1" applyAlignment="1">
      <alignment horizontal="center" vertical="center"/>
    </xf>
    <xf numFmtId="166" fontId="1" fillId="2" borderId="13" xfId="0" applyNumberFormat="1" applyFont="1" applyFill="1" applyBorder="1" applyAlignment="1">
      <alignment vertical="center" wrapText="1"/>
    </xf>
    <xf numFmtId="167" fontId="1" fillId="2" borderId="13" xfId="1" applyNumberFormat="1" applyFont="1" applyFill="1" applyBorder="1" applyAlignment="1">
      <alignment horizontal="right" vertical="center"/>
    </xf>
    <xf numFmtId="167" fontId="1" fillId="2" borderId="13" xfId="0" applyNumberFormat="1" applyFont="1" applyFill="1" applyBorder="1" applyAlignment="1">
      <alignment horizontal="right" vertical="center"/>
    </xf>
    <xf numFmtId="166" fontId="1" fillId="2" borderId="0" xfId="0" applyNumberFormat="1" applyFont="1" applyFill="1"/>
    <xf numFmtId="0" fontId="1" fillId="2" borderId="0" xfId="0" applyFont="1" applyFill="1"/>
    <xf numFmtId="165" fontId="1" fillId="2" borderId="0" xfId="0" applyNumberFormat="1" applyFont="1" applyFill="1"/>
    <xf numFmtId="0" fontId="1" fillId="2" borderId="13" xfId="0" applyFont="1" applyFill="1" applyBorder="1" applyAlignment="1">
      <alignment vertical="center"/>
    </xf>
    <xf numFmtId="0" fontId="1" fillId="0" borderId="0" xfId="0" applyFont="1" applyFill="1" applyAlignment="1">
      <alignment wrapText="1"/>
    </xf>
    <xf numFmtId="49" fontId="1" fillId="0" borderId="2" xfId="0" applyNumberFormat="1" applyFont="1" applyFill="1" applyBorder="1" applyAlignment="1">
      <alignment horizontal="center" vertical="center" wrapText="1"/>
    </xf>
    <xf numFmtId="166" fontId="1" fillId="0" borderId="13" xfId="1" applyNumberFormat="1" applyFont="1" applyFill="1" applyBorder="1" applyAlignment="1">
      <alignment vertical="center" wrapText="1"/>
    </xf>
    <xf numFmtId="166" fontId="1" fillId="0" borderId="13" xfId="0" applyNumberFormat="1" applyFont="1" applyFill="1" applyBorder="1" applyAlignment="1">
      <alignment horizontal="left" vertical="center" wrapText="1"/>
    </xf>
    <xf numFmtId="49" fontId="5" fillId="0" borderId="13" xfId="0" applyNumberFormat="1" applyFont="1" applyFill="1" applyBorder="1" applyAlignment="1">
      <alignment horizontal="right" vertical="center"/>
    </xf>
    <xf numFmtId="166" fontId="1" fillId="0" borderId="13" xfId="1" applyNumberFormat="1" applyFont="1" applyFill="1" applyBorder="1" applyAlignment="1">
      <alignment horizontal="left" vertical="center" wrapText="1"/>
    </xf>
    <xf numFmtId="49" fontId="6" fillId="0" borderId="13" xfId="0" applyNumberFormat="1" applyFont="1" applyFill="1" applyBorder="1" applyAlignment="1">
      <alignment vertical="center" wrapText="1"/>
    </xf>
    <xf numFmtId="167" fontId="3" fillId="0" borderId="13" xfId="1" applyNumberFormat="1" applyFont="1" applyFill="1" applyBorder="1" applyAlignment="1">
      <alignment horizontal="right" vertical="center"/>
    </xf>
    <xf numFmtId="0" fontId="1" fillId="0" borderId="13" xfId="0" applyFont="1" applyFill="1" applyBorder="1" applyAlignment="1">
      <alignment vertical="center" wrapText="1"/>
    </xf>
    <xf numFmtId="49" fontId="5" fillId="0" borderId="2" xfId="0" applyNumberFormat="1" applyFont="1" applyFill="1" applyBorder="1" applyAlignment="1">
      <alignment horizontal="right" vertical="center"/>
    </xf>
    <xf numFmtId="0" fontId="7" fillId="0" borderId="0" xfId="0" applyFont="1" applyFill="1"/>
    <xf numFmtId="0" fontId="1" fillId="0" borderId="13" xfId="0" applyFont="1" applyFill="1" applyBorder="1" applyAlignment="1">
      <alignment horizontal="left" vertical="center" wrapText="1"/>
    </xf>
    <xf numFmtId="49" fontId="1" fillId="0" borderId="13" xfId="0" applyNumberFormat="1" applyFont="1" applyFill="1" applyBorder="1" applyAlignment="1">
      <alignment vertical="center" wrapText="1"/>
    </xf>
    <xf numFmtId="166" fontId="1" fillId="2" borderId="13" xfId="0" applyNumberFormat="1" applyFont="1" applyFill="1" applyBorder="1" applyAlignment="1">
      <alignment vertical="center"/>
    </xf>
    <xf numFmtId="49" fontId="3" fillId="0" borderId="13" xfId="0" applyNumberFormat="1" applyFont="1" applyFill="1" applyBorder="1" applyAlignment="1">
      <alignment horizontal="left" vertical="center" wrapText="1"/>
    </xf>
    <xf numFmtId="167" fontId="3" fillId="0" borderId="13" xfId="0" applyNumberFormat="1" applyFont="1" applyFill="1" applyBorder="1" applyAlignment="1">
      <alignment horizontal="center" vertical="center"/>
    </xf>
    <xf numFmtId="167" fontId="3" fillId="0" borderId="13" xfId="0" applyNumberFormat="1" applyFont="1" applyFill="1" applyBorder="1" applyAlignment="1">
      <alignment horizontal="right" vertical="center"/>
    </xf>
    <xf numFmtId="49" fontId="8" fillId="0" borderId="13" xfId="0" applyNumberFormat="1" applyFont="1" applyFill="1" applyBorder="1" applyAlignment="1">
      <alignment vertical="center" wrapText="1"/>
    </xf>
    <xf numFmtId="0" fontId="1" fillId="0" borderId="13" xfId="2" applyFont="1" applyFill="1" applyBorder="1" applyAlignment="1">
      <alignment vertical="center" wrapText="1"/>
    </xf>
    <xf numFmtId="167" fontId="9" fillId="0" borderId="13" xfId="0" applyNumberFormat="1" applyFont="1" applyFill="1" applyBorder="1" applyAlignment="1">
      <alignment horizontal="right" vertical="center"/>
    </xf>
    <xf numFmtId="164" fontId="1" fillId="0" borderId="13" xfId="0" applyNumberFormat="1" applyFont="1" applyFill="1" applyBorder="1" applyAlignment="1">
      <alignment horizontal="right" vertical="center"/>
    </xf>
    <xf numFmtId="165" fontId="3" fillId="0" borderId="13" xfId="0" applyNumberFormat="1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left" vertical="center" wrapText="1"/>
    </xf>
    <xf numFmtId="166" fontId="8" fillId="0" borderId="13" xfId="0" applyNumberFormat="1" applyFont="1" applyFill="1" applyBorder="1" applyAlignment="1">
      <alignment vertical="center" wrapText="1"/>
    </xf>
    <xf numFmtId="166" fontId="1" fillId="0" borderId="13" xfId="1" applyNumberFormat="1" applyFont="1" applyFill="1" applyBorder="1" applyAlignment="1">
      <alignment vertical="center"/>
    </xf>
    <xf numFmtId="49" fontId="1" fillId="0" borderId="13" xfId="1" applyNumberFormat="1" applyFont="1" applyFill="1" applyBorder="1" applyAlignment="1">
      <alignment horizontal="center" vertical="center"/>
    </xf>
    <xf numFmtId="167" fontId="1" fillId="0" borderId="13" xfId="0" applyNumberFormat="1" applyFont="1" applyFill="1" applyBorder="1" applyAlignment="1">
      <alignment vertical="center"/>
    </xf>
    <xf numFmtId="0" fontId="1" fillId="0" borderId="13" xfId="0" applyFont="1" applyFill="1" applyBorder="1" applyAlignment="1">
      <alignment horizontal="center" vertical="center" wrapText="1"/>
    </xf>
    <xf numFmtId="165" fontId="1" fillId="0" borderId="13" xfId="1" applyNumberFormat="1" applyFont="1" applyFill="1" applyBorder="1" applyAlignment="1">
      <alignment horizontal="right" vertical="center"/>
    </xf>
    <xf numFmtId="0" fontId="1" fillId="0" borderId="2" xfId="0" applyFont="1" applyFill="1" applyBorder="1" applyAlignment="1">
      <alignment vertical="center" wrapText="1"/>
    </xf>
    <xf numFmtId="49" fontId="1" fillId="0" borderId="13" xfId="1" applyNumberFormat="1" applyFont="1" applyFill="1" applyBorder="1" applyAlignment="1">
      <alignment horizontal="center" vertical="center" wrapText="1"/>
    </xf>
    <xf numFmtId="164" fontId="3" fillId="0" borderId="13" xfId="1" applyNumberFormat="1" applyFont="1" applyFill="1" applyBorder="1" applyAlignment="1">
      <alignment horizontal="right" vertical="center"/>
    </xf>
    <xf numFmtId="0" fontId="8" fillId="0" borderId="13" xfId="2" applyFont="1" applyFill="1" applyBorder="1" applyAlignment="1">
      <alignment vertical="center" wrapText="1"/>
    </xf>
    <xf numFmtId="164" fontId="3" fillId="0" borderId="13" xfId="0" applyNumberFormat="1" applyFont="1" applyFill="1" applyBorder="1" applyAlignment="1">
      <alignment horizontal="right" vertical="center"/>
    </xf>
    <xf numFmtId="49" fontId="1" fillId="0" borderId="13" xfId="0" applyNumberFormat="1" applyFont="1" applyFill="1" applyBorder="1" applyAlignment="1">
      <alignment horizontal="right" vertical="center"/>
    </xf>
    <xf numFmtId="166" fontId="7" fillId="0" borderId="0" xfId="0" applyNumberFormat="1" applyFont="1" applyFill="1"/>
    <xf numFmtId="166" fontId="3" fillId="0" borderId="13" xfId="0" applyNumberFormat="1" applyFont="1" applyFill="1" applyBorder="1" applyAlignment="1">
      <alignment vertical="center" wrapText="1"/>
    </xf>
    <xf numFmtId="164" fontId="3" fillId="0" borderId="13" xfId="0" applyNumberFormat="1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right" vertical="center"/>
    </xf>
    <xf numFmtId="0" fontId="1" fillId="0" borderId="13" xfId="0" applyFont="1" applyFill="1" applyBorder="1" applyAlignment="1">
      <alignment horizontal="center" vertical="center"/>
    </xf>
    <xf numFmtId="168" fontId="1" fillId="0" borderId="13" xfId="0" applyNumberFormat="1" applyFont="1" applyFill="1" applyBorder="1" applyAlignment="1">
      <alignment horizontal="right" vertical="center"/>
    </xf>
    <xf numFmtId="168" fontId="1" fillId="0" borderId="13" xfId="0" applyNumberFormat="1" applyFont="1" applyFill="1" applyBorder="1" applyAlignment="1">
      <alignment vertical="center"/>
    </xf>
    <xf numFmtId="49" fontId="4" fillId="0" borderId="13" xfId="0" applyNumberFormat="1" applyFont="1" applyFill="1" applyBorder="1" applyAlignment="1">
      <alignment horizontal="left" vertical="center" wrapText="1"/>
    </xf>
    <xf numFmtId="167" fontId="3" fillId="0" borderId="13" xfId="0" applyNumberFormat="1" applyFont="1" applyFill="1" applyBorder="1" applyAlignment="1">
      <alignment horizontal="center" vertical="center" wrapText="1"/>
    </xf>
    <xf numFmtId="165" fontId="1" fillId="0" borderId="0" xfId="0" applyNumberFormat="1" applyFont="1" applyFill="1" applyAlignment="1">
      <alignment vertical="center"/>
    </xf>
    <xf numFmtId="49" fontId="1" fillId="0" borderId="12" xfId="0" applyNumberFormat="1" applyFont="1" applyFill="1" applyBorder="1" applyAlignment="1">
      <alignment horizontal="center" vertical="center"/>
    </xf>
    <xf numFmtId="49" fontId="1" fillId="0" borderId="12" xfId="0" applyNumberFormat="1" applyFont="1" applyFill="1" applyBorder="1" applyAlignment="1">
      <alignment horizontal="center" vertical="center" wrapText="1"/>
    </xf>
    <xf numFmtId="49" fontId="1" fillId="0" borderId="13" xfId="0" applyNumberFormat="1" applyFont="1" applyFill="1" applyBorder="1" applyAlignment="1">
      <alignment horizontal="center" wrapText="1"/>
    </xf>
    <xf numFmtId="2" fontId="1" fillId="0" borderId="13" xfId="0" applyNumberFormat="1" applyFont="1" applyFill="1" applyBorder="1" applyAlignment="1">
      <alignment vertical="center"/>
    </xf>
    <xf numFmtId="49" fontId="1" fillId="0" borderId="13" xfId="2" applyNumberFormat="1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left" vertical="center"/>
    </xf>
    <xf numFmtId="49" fontId="1" fillId="0" borderId="2" xfId="2" applyNumberFormat="1" applyFont="1" applyFill="1" applyBorder="1" applyAlignment="1">
      <alignment horizontal="center" vertical="center" wrapText="1"/>
    </xf>
    <xf numFmtId="164" fontId="1" fillId="0" borderId="13" xfId="0" applyNumberFormat="1" applyFont="1" applyFill="1" applyBorder="1" applyAlignment="1">
      <alignment vertical="center"/>
    </xf>
    <xf numFmtId="49" fontId="3" fillId="0" borderId="13" xfId="1" applyNumberFormat="1" applyFont="1" applyFill="1" applyBorder="1" applyAlignment="1">
      <alignment horizontal="center" vertical="center" wrapText="1"/>
    </xf>
    <xf numFmtId="164" fontId="1" fillId="2" borderId="13" xfId="0" applyNumberFormat="1" applyFont="1" applyFill="1" applyBorder="1" applyAlignment="1">
      <alignment horizontal="right" vertical="center"/>
    </xf>
    <xf numFmtId="0" fontId="8" fillId="0" borderId="13" xfId="0" applyFont="1" applyFill="1" applyBorder="1" applyAlignment="1">
      <alignment vertical="center" wrapText="1"/>
    </xf>
    <xf numFmtId="49" fontId="10" fillId="0" borderId="13" xfId="0" applyNumberFormat="1" applyFont="1" applyFill="1" applyBorder="1" applyAlignment="1">
      <alignment horizontal="right" vertical="center" wrapText="1"/>
    </xf>
    <xf numFmtId="165" fontId="3" fillId="0" borderId="13" xfId="0" applyNumberFormat="1" applyFont="1" applyFill="1" applyBorder="1" applyAlignment="1">
      <alignment horizontal="right" vertical="center"/>
    </xf>
    <xf numFmtId="49" fontId="1" fillId="0" borderId="0" xfId="0" applyNumberFormat="1" applyFont="1" applyFill="1" applyAlignment="1">
      <alignment horizontal="right" vertical="center"/>
    </xf>
    <xf numFmtId="166" fontId="1" fillId="0" borderId="0" xfId="0" applyNumberFormat="1" applyFont="1" applyFill="1" applyAlignment="1">
      <alignment vertical="center"/>
    </xf>
    <xf numFmtId="166" fontId="1" fillId="0" borderId="0" xfId="0" applyNumberFormat="1" applyFont="1" applyFill="1" applyAlignment="1">
      <alignment horizontal="right" vertical="center"/>
    </xf>
    <xf numFmtId="168" fontId="1" fillId="0" borderId="0" xfId="0" applyNumberFormat="1" applyFont="1" applyFill="1" applyAlignment="1">
      <alignment vertical="center"/>
    </xf>
    <xf numFmtId="168" fontId="1" fillId="0" borderId="0" xfId="0" applyNumberFormat="1" applyFont="1" applyFill="1" applyAlignment="1">
      <alignment horizontal="right" vertical="center"/>
    </xf>
    <xf numFmtId="165" fontId="1" fillId="0" borderId="0" xfId="0" applyNumberFormat="1" applyFont="1" applyFill="1" applyAlignment="1">
      <alignment horizontal="right" vertical="center"/>
    </xf>
    <xf numFmtId="0" fontId="1" fillId="0" borderId="0" xfId="0" applyFont="1" applyFill="1" applyAlignment="1">
      <alignment horizontal="right" vertical="center"/>
    </xf>
    <xf numFmtId="0" fontId="1" fillId="0" borderId="0" xfId="0" applyFont="1" applyFill="1" applyAlignment="1">
      <alignment horizontal="center"/>
    </xf>
    <xf numFmtId="0" fontId="1" fillId="0" borderId="13" xfId="0" applyFont="1" applyFill="1" applyBorder="1" applyAlignment="1">
      <alignment horizontal="center"/>
    </xf>
    <xf numFmtId="166" fontId="1" fillId="0" borderId="10" xfId="0" applyNumberFormat="1" applyFont="1" applyFill="1" applyBorder="1" applyAlignment="1">
      <alignment vertical="center"/>
    </xf>
    <xf numFmtId="165" fontId="1" fillId="0" borderId="13" xfId="0" applyNumberFormat="1" applyFont="1" applyFill="1" applyBorder="1" applyAlignment="1">
      <alignment horizontal="right" vertical="center"/>
    </xf>
    <xf numFmtId="165" fontId="1" fillId="0" borderId="13" xfId="0" applyNumberFormat="1" applyFont="1" applyFill="1" applyBorder="1" applyAlignment="1">
      <alignment horizontal="center" vertical="center"/>
    </xf>
    <xf numFmtId="0" fontId="1" fillId="0" borderId="13" xfId="0" applyFont="1" applyFill="1" applyBorder="1"/>
    <xf numFmtId="166" fontId="1" fillId="0" borderId="13" xfId="0" applyNumberFormat="1" applyFont="1" applyFill="1" applyBorder="1"/>
    <xf numFmtId="166" fontId="1" fillId="0" borderId="10" xfId="0" applyNumberFormat="1" applyFont="1" applyFill="1" applyBorder="1" applyAlignment="1">
      <alignment vertical="center" wrapText="1"/>
    </xf>
    <xf numFmtId="166" fontId="1" fillId="0" borderId="9" xfId="0" applyNumberFormat="1" applyFont="1" applyFill="1" applyBorder="1" applyAlignment="1">
      <alignment vertical="center"/>
    </xf>
    <xf numFmtId="166" fontId="1" fillId="0" borderId="13" xfId="1" applyNumberFormat="1" applyFill="1" applyBorder="1" applyAlignment="1">
      <alignment vertical="center"/>
    </xf>
    <xf numFmtId="166" fontId="1" fillId="0" borderId="9" xfId="0" applyNumberFormat="1" applyFont="1" applyFill="1" applyBorder="1" applyAlignment="1">
      <alignment horizontal="left" vertical="center" wrapText="1"/>
    </xf>
    <xf numFmtId="166" fontId="1" fillId="0" borderId="13" xfId="0" applyNumberFormat="1" applyFont="1" applyFill="1" applyBorder="1" applyAlignment="1">
      <alignment horizontal="left" vertical="center"/>
    </xf>
    <xf numFmtId="49" fontId="3" fillId="0" borderId="13" xfId="0" applyNumberFormat="1" applyFont="1" applyFill="1" applyBorder="1" applyAlignment="1">
      <alignment horizontal="right" vertical="center"/>
    </xf>
    <xf numFmtId="1" fontId="1" fillId="0" borderId="0" xfId="0" applyNumberFormat="1" applyFont="1" applyFill="1"/>
    <xf numFmtId="0" fontId="3" fillId="0" borderId="13" xfId="0" applyFont="1" applyFill="1" applyBorder="1" applyAlignment="1">
      <alignment horizontal="center"/>
    </xf>
    <xf numFmtId="0" fontId="11" fillId="0" borderId="13" xfId="0" applyFont="1" applyFill="1" applyBorder="1" applyAlignment="1">
      <alignment horizontal="right" vertical="center"/>
    </xf>
    <xf numFmtId="166" fontId="1" fillId="0" borderId="9" xfId="0" applyNumberFormat="1" applyFont="1" applyFill="1" applyBorder="1" applyAlignment="1">
      <alignment vertical="center" wrapText="1"/>
    </xf>
    <xf numFmtId="49" fontId="1" fillId="0" borderId="2" xfId="1" applyNumberFormat="1" applyFill="1" applyBorder="1" applyAlignment="1">
      <alignment horizontal="center" vertical="center" wrapText="1"/>
    </xf>
    <xf numFmtId="166" fontId="5" fillId="0" borderId="0" xfId="0" applyNumberFormat="1" applyFont="1" applyFill="1" applyAlignment="1">
      <alignment horizontal="right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left" vertical="center" wrapText="1"/>
    </xf>
    <xf numFmtId="168" fontId="3" fillId="0" borderId="13" xfId="0" applyNumberFormat="1" applyFont="1" applyFill="1" applyBorder="1" applyAlignment="1">
      <alignment horizontal="center" vertical="center"/>
    </xf>
    <xf numFmtId="168" fontId="1" fillId="0" borderId="13" xfId="0" applyNumberFormat="1" applyFont="1" applyFill="1" applyBorder="1" applyAlignment="1">
      <alignment horizontal="center" vertical="center"/>
    </xf>
    <xf numFmtId="166" fontId="1" fillId="0" borderId="11" xfId="0" applyNumberFormat="1" applyFont="1" applyFill="1" applyBorder="1" applyAlignment="1">
      <alignment vertical="center" wrapText="1"/>
    </xf>
    <xf numFmtId="166" fontId="1" fillId="0" borderId="11" xfId="0" applyNumberFormat="1" applyFont="1" applyFill="1" applyBorder="1" applyAlignment="1">
      <alignment vertical="center"/>
    </xf>
    <xf numFmtId="49" fontId="3" fillId="0" borderId="11" xfId="0" applyNumberFormat="1" applyFont="1" applyFill="1" applyBorder="1" applyAlignment="1">
      <alignment horizontal="left" vertical="center" wrapText="1"/>
    </xf>
    <xf numFmtId="49" fontId="3" fillId="0" borderId="11" xfId="0" applyNumberFormat="1" applyFont="1" applyFill="1" applyBorder="1" applyAlignment="1">
      <alignment horizontal="right" vertical="center"/>
    </xf>
    <xf numFmtId="0" fontId="1" fillId="0" borderId="0" xfId="0" applyFont="1" applyFill="1" applyAlignment="1">
      <alignment horizontal="left"/>
    </xf>
    <xf numFmtId="0" fontId="3" fillId="0" borderId="12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165" fontId="1" fillId="0" borderId="13" xfId="1" applyNumberFormat="1" applyFill="1" applyBorder="1" applyAlignment="1">
      <alignment horizontal="right" vertical="center"/>
    </xf>
    <xf numFmtId="166" fontId="5" fillId="0" borderId="0" xfId="0" applyNumberFormat="1" applyFont="1" applyFill="1"/>
    <xf numFmtId="166" fontId="1" fillId="0" borderId="10" xfId="0" applyNumberFormat="1" applyFont="1" applyFill="1" applyBorder="1" applyAlignment="1">
      <alignment horizontal="left" vertical="center" wrapText="1"/>
    </xf>
    <xf numFmtId="165" fontId="1" fillId="2" borderId="13" xfId="1" applyNumberFormat="1" applyFill="1" applyBorder="1" applyAlignment="1">
      <alignment horizontal="right" vertical="center"/>
    </xf>
    <xf numFmtId="49" fontId="7" fillId="0" borderId="13" xfId="0" applyNumberFormat="1" applyFont="1" applyFill="1" applyBorder="1" applyAlignment="1">
      <alignment horizontal="center" vertical="center"/>
    </xf>
    <xf numFmtId="166" fontId="1" fillId="2" borderId="0" xfId="0" applyNumberFormat="1" applyFont="1" applyFill="1" applyAlignment="1">
      <alignment vertical="center"/>
    </xf>
    <xf numFmtId="165" fontId="1" fillId="0" borderId="13" xfId="1" applyNumberFormat="1" applyFill="1" applyBorder="1" applyAlignment="1">
      <alignment vertical="center"/>
    </xf>
    <xf numFmtId="165" fontId="7" fillId="0" borderId="13" xfId="1" applyNumberFormat="1" applyFont="1" applyFill="1" applyBorder="1" applyAlignment="1">
      <alignment vertical="center"/>
    </xf>
    <xf numFmtId="165" fontId="3" fillId="0" borderId="13" xfId="1" applyNumberFormat="1" applyFont="1" applyFill="1" applyBorder="1" applyAlignment="1">
      <alignment horizontal="center" vertical="center"/>
    </xf>
    <xf numFmtId="49" fontId="1" fillId="0" borderId="13" xfId="0" applyNumberFormat="1" applyFont="1" applyFill="1" applyBorder="1" applyAlignment="1">
      <alignment horizontal="left" vertical="center" wrapText="1"/>
    </xf>
    <xf numFmtId="166" fontId="1" fillId="0" borderId="13" xfId="0" applyNumberFormat="1" applyFont="1" applyFill="1" applyBorder="1" applyAlignment="1">
      <alignment horizontal="right" vertical="center"/>
    </xf>
    <xf numFmtId="49" fontId="1" fillId="0" borderId="9" xfId="0" applyNumberFormat="1" applyFont="1" applyFill="1" applyBorder="1" applyAlignment="1">
      <alignment vertical="center" wrapText="1"/>
    </xf>
    <xf numFmtId="166" fontId="1" fillId="0" borderId="13" xfId="0" applyNumberFormat="1" applyFont="1" applyFill="1" applyBorder="1" applyAlignment="1">
      <alignment horizontal="center" vertical="center"/>
    </xf>
    <xf numFmtId="49" fontId="1" fillId="0" borderId="13" xfId="3" applyNumberFormat="1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165" fontId="1" fillId="2" borderId="13" xfId="1" applyNumberFormat="1" applyFill="1" applyBorder="1" applyAlignment="1">
      <alignment horizontal="center" vertical="center"/>
    </xf>
    <xf numFmtId="166" fontId="5" fillId="2" borderId="0" xfId="0" applyNumberFormat="1" applyFont="1" applyFill="1"/>
    <xf numFmtId="49" fontId="1" fillId="0" borderId="11" xfId="0" applyNumberFormat="1" applyFont="1" applyFill="1" applyBorder="1" applyAlignment="1">
      <alignment vertical="center" wrapText="1"/>
    </xf>
    <xf numFmtId="166" fontId="1" fillId="0" borderId="0" xfId="0" applyNumberFormat="1" applyFont="1" applyFill="1" applyAlignment="1">
      <alignment wrapText="1"/>
    </xf>
    <xf numFmtId="166" fontId="3" fillId="0" borderId="13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right"/>
    </xf>
    <xf numFmtId="166" fontId="1" fillId="0" borderId="0" xfId="0" applyNumberFormat="1" applyFont="1" applyFill="1" applyAlignment="1">
      <alignment horizontal="right"/>
    </xf>
    <xf numFmtId="0" fontId="1" fillId="0" borderId="11" xfId="0" applyFont="1" applyFill="1" applyBorder="1" applyAlignment="1">
      <alignment vertical="center" wrapText="1"/>
    </xf>
    <xf numFmtId="166" fontId="5" fillId="0" borderId="0" xfId="0" applyNumberFormat="1" applyFont="1" applyFill="1" applyAlignment="1">
      <alignment vertical="center"/>
    </xf>
    <xf numFmtId="166" fontId="13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vertical="center" wrapText="1"/>
    </xf>
    <xf numFmtId="166" fontId="1" fillId="0" borderId="0" xfId="0" applyNumberFormat="1" applyFont="1" applyFill="1" applyAlignment="1">
      <alignment horizontal="left"/>
    </xf>
    <xf numFmtId="0" fontId="12" fillId="0" borderId="0" xfId="4" applyFill="1"/>
    <xf numFmtId="167" fontId="8" fillId="0" borderId="13" xfId="0" applyNumberFormat="1" applyFont="1" applyFill="1" applyBorder="1" applyAlignment="1">
      <alignment horizontal="right" vertical="center" wrapText="1"/>
    </xf>
    <xf numFmtId="167" fontId="1" fillId="0" borderId="13" xfId="0" applyNumberFormat="1" applyFont="1" applyFill="1" applyBorder="1" applyAlignment="1">
      <alignment horizontal="right" vertical="center" wrapText="1"/>
    </xf>
    <xf numFmtId="167" fontId="8" fillId="0" borderId="13" xfId="0" applyNumberFormat="1" applyFont="1" applyFill="1" applyBorder="1" applyAlignment="1">
      <alignment horizontal="right" vertical="center"/>
    </xf>
    <xf numFmtId="167" fontId="7" fillId="0" borderId="13" xfId="0" applyNumberFormat="1" applyFont="1" applyFill="1" applyBorder="1" applyAlignment="1">
      <alignment horizontal="right" vertical="center"/>
    </xf>
    <xf numFmtId="164" fontId="8" fillId="0" borderId="13" xfId="0" applyNumberFormat="1" applyFont="1" applyFill="1" applyBorder="1" applyAlignment="1">
      <alignment horizontal="right" vertical="center"/>
    </xf>
    <xf numFmtId="49" fontId="3" fillId="0" borderId="2" xfId="0" applyNumberFormat="1" applyFont="1" applyFill="1" applyBorder="1" applyAlignment="1">
      <alignment horizontal="center" vertical="center"/>
    </xf>
    <xf numFmtId="49" fontId="3" fillId="0" borderId="13" xfId="0" applyNumberFormat="1" applyFont="1" applyFill="1" applyBorder="1" applyAlignment="1">
      <alignment horizontal="right" vertical="center" wrapText="1"/>
    </xf>
    <xf numFmtId="49" fontId="1" fillId="0" borderId="0" xfId="0" applyNumberFormat="1" applyFont="1" applyFill="1" applyAlignment="1">
      <alignment vertical="center"/>
    </xf>
    <xf numFmtId="0" fontId="2" fillId="2" borderId="0" xfId="0" applyFont="1" applyFill="1" applyAlignment="1">
      <alignment horizontal="right" vertical="center"/>
    </xf>
    <xf numFmtId="0" fontId="11" fillId="0" borderId="0" xfId="0" applyFont="1" applyFill="1" applyAlignment="1">
      <alignment vertical="center"/>
    </xf>
    <xf numFmtId="49" fontId="11" fillId="0" borderId="0" xfId="0" applyNumberFormat="1" applyFont="1" applyFill="1" applyAlignment="1">
      <alignment horizontal="center" vertical="center"/>
    </xf>
    <xf numFmtId="49" fontId="11" fillId="0" borderId="0" xfId="0" applyNumberFormat="1" applyFont="1" applyFill="1" applyAlignment="1">
      <alignment vertical="center"/>
    </xf>
    <xf numFmtId="0" fontId="11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right" vertical="center"/>
    </xf>
    <xf numFmtId="0" fontId="3" fillId="2" borderId="13" xfId="0" applyFont="1" applyFill="1" applyBorder="1" applyAlignment="1">
      <alignment horizontal="center" vertical="center" wrapText="1"/>
    </xf>
    <xf numFmtId="165" fontId="3" fillId="2" borderId="13" xfId="0" applyNumberFormat="1" applyFont="1" applyFill="1" applyBorder="1" applyAlignment="1">
      <alignment horizontal="center" vertical="center" wrapText="1"/>
    </xf>
    <xf numFmtId="49" fontId="8" fillId="0" borderId="13" xfId="0" applyNumberFormat="1" applyFont="1" applyFill="1" applyBorder="1" applyAlignment="1">
      <alignment horizontal="left" vertical="center" wrapText="1"/>
    </xf>
    <xf numFmtId="165" fontId="8" fillId="0" borderId="13" xfId="0" applyNumberFormat="1" applyFont="1" applyFill="1" applyBorder="1" applyAlignment="1">
      <alignment horizontal="center" vertical="center" wrapText="1"/>
    </xf>
    <xf numFmtId="165" fontId="8" fillId="2" borderId="13" xfId="0" applyNumberFormat="1" applyFont="1" applyFill="1" applyBorder="1" applyAlignment="1">
      <alignment horizontal="center" vertical="center" wrapText="1"/>
    </xf>
    <xf numFmtId="17" fontId="5" fillId="0" borderId="13" xfId="0" applyNumberFormat="1" applyFont="1" applyFill="1" applyBorder="1" applyAlignment="1">
      <alignment horizontal="right" vertical="center"/>
    </xf>
    <xf numFmtId="49" fontId="8" fillId="0" borderId="13" xfId="0" applyNumberFormat="1" applyFont="1" applyFill="1" applyBorder="1" applyAlignment="1">
      <alignment horizontal="center" vertical="center"/>
    </xf>
    <xf numFmtId="166" fontId="8" fillId="0" borderId="10" xfId="0" applyNumberFormat="1" applyFont="1" applyFill="1" applyBorder="1" applyAlignment="1">
      <alignment horizontal="left" vertical="center" wrapText="1"/>
    </xf>
    <xf numFmtId="166" fontId="1" fillId="0" borderId="13" xfId="5" applyNumberFormat="1" applyFill="1" applyBorder="1" applyAlignment="1">
      <alignment vertical="center" wrapText="1"/>
    </xf>
    <xf numFmtId="165" fontId="3" fillId="2" borderId="13" xfId="0" applyNumberFormat="1" applyFont="1" applyFill="1" applyBorder="1" applyAlignment="1">
      <alignment horizontal="center" vertical="center"/>
    </xf>
    <xf numFmtId="166" fontId="1" fillId="2" borderId="0" xfId="0" applyNumberFormat="1" applyFont="1" applyFill="1" applyAlignment="1">
      <alignment horizontal="right" vertical="center"/>
    </xf>
    <xf numFmtId="2" fontId="1" fillId="0" borderId="0" xfId="0" applyNumberFormat="1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horizontal="right" vertical="center"/>
    </xf>
    <xf numFmtId="168" fontId="3" fillId="0" borderId="13" xfId="0" applyNumberFormat="1" applyFont="1" applyFill="1" applyBorder="1" applyAlignment="1">
      <alignment horizontal="center" vertical="center" wrapText="1"/>
    </xf>
    <xf numFmtId="168" fontId="6" fillId="0" borderId="13" xfId="0" applyNumberFormat="1" applyFont="1" applyFill="1" applyBorder="1" applyAlignment="1">
      <alignment horizontal="right" vertical="center"/>
    </xf>
    <xf numFmtId="166" fontId="6" fillId="0" borderId="13" xfId="0" applyNumberFormat="1" applyFont="1" applyFill="1" applyBorder="1" applyAlignment="1">
      <alignment vertical="center"/>
    </xf>
    <xf numFmtId="166" fontId="8" fillId="0" borderId="10" xfId="0" applyNumberFormat="1" applyFont="1" applyFill="1" applyBorder="1" applyAlignment="1">
      <alignment vertical="center" wrapText="1"/>
    </xf>
    <xf numFmtId="169" fontId="6" fillId="0" borderId="13" xfId="0" applyNumberFormat="1" applyFont="1" applyFill="1" applyBorder="1" applyAlignment="1">
      <alignment horizontal="right" vertical="center"/>
    </xf>
    <xf numFmtId="166" fontId="1" fillId="0" borderId="5" xfId="0" applyNumberFormat="1" applyFont="1" applyFill="1" applyBorder="1" applyAlignment="1">
      <alignment vertical="center" wrapText="1"/>
    </xf>
    <xf numFmtId="169" fontId="1" fillId="0" borderId="13" xfId="0" applyNumberFormat="1" applyFont="1" applyFill="1" applyBorder="1" applyAlignment="1">
      <alignment horizontal="right" vertical="center"/>
    </xf>
    <xf numFmtId="168" fontId="1" fillId="0" borderId="13" xfId="0" applyNumberFormat="1" applyFont="1" applyFill="1" applyBorder="1" applyAlignment="1">
      <alignment horizontal="right" vertical="center" wrapText="1"/>
    </xf>
    <xf numFmtId="0" fontId="1" fillId="0" borderId="2" xfId="0" applyFont="1" applyFill="1" applyBorder="1" applyAlignment="1">
      <alignment vertical="center"/>
    </xf>
    <xf numFmtId="0" fontId="1" fillId="0" borderId="2" xfId="0" applyFont="1" applyFill="1" applyBorder="1"/>
    <xf numFmtId="0" fontId="1" fillId="0" borderId="2" xfId="0" applyFont="1" applyFill="1" applyBorder="1" applyAlignment="1">
      <alignment horizontal="center" vertical="center"/>
    </xf>
    <xf numFmtId="168" fontId="8" fillId="0" borderId="13" xfId="0" applyNumberFormat="1" applyFont="1" applyFill="1" applyBorder="1" applyAlignment="1">
      <alignment horizontal="right" vertical="center"/>
    </xf>
    <xf numFmtId="166" fontId="8" fillId="0" borderId="13" xfId="0" applyNumberFormat="1" applyFont="1" applyFill="1" applyBorder="1" applyAlignment="1">
      <alignment vertical="center"/>
    </xf>
    <xf numFmtId="169" fontId="8" fillId="0" borderId="13" xfId="0" applyNumberFormat="1" applyFont="1" applyFill="1" applyBorder="1" applyAlignment="1">
      <alignment horizontal="right" vertical="center"/>
    </xf>
    <xf numFmtId="166" fontId="3" fillId="0" borderId="10" xfId="0" applyNumberFormat="1" applyFont="1" applyFill="1" applyBorder="1" applyAlignment="1">
      <alignment vertical="center" wrapText="1"/>
    </xf>
    <xf numFmtId="168" fontId="3" fillId="0" borderId="13" xfId="0" applyNumberFormat="1" applyFont="1" applyFill="1" applyBorder="1" applyAlignment="1">
      <alignment horizontal="right" vertical="center"/>
    </xf>
    <xf numFmtId="164" fontId="1" fillId="0" borderId="13" xfId="0" applyNumberFormat="1" applyFont="1" applyFill="1" applyBorder="1" applyAlignment="1">
      <alignment horizontal="right" vertical="center" wrapText="1"/>
    </xf>
    <xf numFmtId="0" fontId="7" fillId="0" borderId="0" xfId="0" applyFont="1" applyFill="1" applyAlignment="1">
      <alignment horizontal="center"/>
    </xf>
    <xf numFmtId="0" fontId="1" fillId="0" borderId="13" xfId="0" applyFont="1" applyFill="1" applyBorder="1" applyAlignment="1">
      <alignment horizontal="right" vertical="center" wrapText="1"/>
    </xf>
    <xf numFmtId="167" fontId="1" fillId="0" borderId="13" xfId="1" applyNumberFormat="1" applyFill="1" applyBorder="1" applyAlignment="1">
      <alignment horizontal="right" vertical="center"/>
    </xf>
    <xf numFmtId="167" fontId="3" fillId="0" borderId="13" xfId="1" applyNumberFormat="1" applyFont="1" applyFill="1" applyBorder="1" applyAlignment="1">
      <alignment horizontal="center" vertical="center"/>
    </xf>
    <xf numFmtId="164" fontId="3" fillId="0" borderId="13" xfId="1" applyNumberFormat="1" applyFont="1" applyFill="1" applyBorder="1" applyAlignment="1">
      <alignment horizontal="center" vertical="center"/>
    </xf>
    <xf numFmtId="164" fontId="1" fillId="0" borderId="13" xfId="1" applyNumberFormat="1" applyFill="1" applyBorder="1" applyAlignment="1">
      <alignment horizontal="right" vertical="center"/>
    </xf>
    <xf numFmtId="170" fontId="3" fillId="0" borderId="13" xfId="1" applyNumberFormat="1" applyFont="1" applyFill="1" applyBorder="1" applyAlignment="1">
      <alignment horizontal="center" vertical="center"/>
    </xf>
    <xf numFmtId="168" fontId="1" fillId="0" borderId="0" xfId="0" applyNumberFormat="1" applyFont="1" applyFill="1"/>
    <xf numFmtId="170" fontId="3" fillId="0" borderId="13" xfId="0" applyNumberFormat="1" applyFont="1" applyFill="1" applyBorder="1" applyAlignment="1">
      <alignment horizontal="center" vertical="center"/>
    </xf>
    <xf numFmtId="49" fontId="3" fillId="0" borderId="6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Alignment="1">
      <alignment horizontal="left" vertical="center"/>
    </xf>
    <xf numFmtId="49" fontId="1" fillId="0" borderId="0" xfId="0" applyNumberFormat="1" applyFont="1" applyFill="1" applyAlignment="1">
      <alignment vertical="center" wrapText="1"/>
    </xf>
    <xf numFmtId="0" fontId="1" fillId="0" borderId="0" xfId="0" applyFont="1" applyFill="1" applyAlignment="1"/>
    <xf numFmtId="164" fontId="3" fillId="0" borderId="13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Fill="1" applyAlignment="1">
      <alignment horizontal="right"/>
    </xf>
    <xf numFmtId="2" fontId="1" fillId="0" borderId="0" xfId="0" applyNumberFormat="1" applyFont="1" applyFill="1" applyAlignment="1">
      <alignment horizontal="center"/>
    </xf>
    <xf numFmtId="166" fontId="9" fillId="0" borderId="13" xfId="0" applyNumberFormat="1" applyFont="1" applyFill="1" applyBorder="1" applyAlignment="1">
      <alignment horizontal="center" vertical="center"/>
    </xf>
    <xf numFmtId="168" fontId="1" fillId="2" borderId="13" xfId="0" applyNumberFormat="1" applyFont="1" applyFill="1" applyBorder="1" applyAlignment="1">
      <alignment horizontal="right" vertical="center"/>
    </xf>
    <xf numFmtId="0" fontId="1" fillId="2" borderId="13" xfId="0" applyFont="1" applyFill="1" applyBorder="1"/>
    <xf numFmtId="165" fontId="1" fillId="2" borderId="13" xfId="0" applyNumberFormat="1" applyFont="1" applyFill="1" applyBorder="1" applyAlignment="1">
      <alignment horizontal="right" vertical="center"/>
    </xf>
    <xf numFmtId="167" fontId="1" fillId="2" borderId="13" xfId="0" applyNumberFormat="1" applyFont="1" applyFill="1" applyBorder="1" applyAlignment="1">
      <alignment vertical="center"/>
    </xf>
    <xf numFmtId="0" fontId="9" fillId="0" borderId="13" xfId="0" applyFont="1" applyFill="1" applyBorder="1" applyAlignment="1">
      <alignment horizontal="center"/>
    </xf>
    <xf numFmtId="0" fontId="1" fillId="0" borderId="0" xfId="0" applyFont="1" applyFill="1" applyBorder="1" applyAlignment="1"/>
    <xf numFmtId="0" fontId="1" fillId="0" borderId="14" xfId="0" applyFont="1" applyFill="1" applyBorder="1" applyAlignment="1"/>
    <xf numFmtId="0" fontId="1" fillId="0" borderId="13" xfId="0" applyFont="1" applyFill="1" applyBorder="1" applyAlignment="1">
      <alignment horizontal="right" vertical="center"/>
    </xf>
    <xf numFmtId="165" fontId="3" fillId="0" borderId="13" xfId="0" applyNumberFormat="1" applyFont="1" applyFill="1" applyBorder="1" applyAlignment="1">
      <alignment vertical="center"/>
    </xf>
    <xf numFmtId="168" fontId="3" fillId="0" borderId="13" xfId="0" applyNumberFormat="1" applyFont="1" applyFill="1" applyBorder="1" applyAlignment="1">
      <alignment horizontal="right" vertical="center" wrapText="1"/>
    </xf>
    <xf numFmtId="168" fontId="14" fillId="0" borderId="13" xfId="0" applyNumberFormat="1" applyFont="1" applyFill="1" applyBorder="1" applyAlignment="1">
      <alignment horizontal="right" vertical="center" wrapText="1"/>
    </xf>
    <xf numFmtId="166" fontId="3" fillId="0" borderId="13" xfId="0" applyNumberFormat="1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right"/>
    </xf>
    <xf numFmtId="0" fontId="3" fillId="0" borderId="9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49" fontId="3" fillId="0" borderId="0" xfId="0" applyNumberFormat="1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right" vertical="center"/>
    </xf>
    <xf numFmtId="0" fontId="1" fillId="0" borderId="0" xfId="0" applyFont="1" applyFill="1" applyAlignment="1">
      <alignment horizontal="right" vertical="center"/>
    </xf>
    <xf numFmtId="0" fontId="1" fillId="0" borderId="2" xfId="0" applyFont="1" applyFill="1" applyBorder="1" applyAlignment="1">
      <alignment horizontal="right" vertical="center"/>
    </xf>
    <xf numFmtId="0" fontId="1" fillId="0" borderId="12" xfId="0" applyFont="1" applyFill="1" applyBorder="1" applyAlignment="1">
      <alignment horizontal="right" vertical="center"/>
    </xf>
    <xf numFmtId="49" fontId="1" fillId="0" borderId="2" xfId="0" applyNumberFormat="1" applyFont="1" applyFill="1" applyBorder="1" applyAlignment="1">
      <alignment horizontal="center" vertical="center"/>
    </xf>
    <xf numFmtId="49" fontId="1" fillId="0" borderId="12" xfId="0" applyNumberFormat="1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 wrapText="1"/>
    </xf>
    <xf numFmtId="49" fontId="4" fillId="0" borderId="12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49" fontId="3" fillId="0" borderId="6" xfId="0" applyNumberFormat="1" applyFont="1" applyFill="1" applyBorder="1" applyAlignment="1">
      <alignment horizontal="center" vertical="center" wrapText="1"/>
    </xf>
    <xf numFmtId="49" fontId="3" fillId="0" borderId="12" xfId="0" applyNumberFormat="1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right" vertical="center"/>
    </xf>
    <xf numFmtId="49" fontId="3" fillId="0" borderId="2" xfId="0" applyNumberFormat="1" applyFont="1" applyFill="1" applyBorder="1" applyAlignment="1">
      <alignment horizontal="center" vertical="center"/>
    </xf>
    <xf numFmtId="49" fontId="3" fillId="0" borderId="6" xfId="0" applyNumberFormat="1" applyFont="1" applyFill="1" applyBorder="1" applyAlignment="1">
      <alignment horizontal="center" vertical="center"/>
    </xf>
    <xf numFmtId="49" fontId="3" fillId="0" borderId="12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 wrapText="1"/>
    </xf>
    <xf numFmtId="49" fontId="1" fillId="0" borderId="12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right" vertical="center"/>
    </xf>
    <xf numFmtId="49" fontId="5" fillId="0" borderId="12" xfId="0" applyNumberFormat="1" applyFont="1" applyFill="1" applyBorder="1" applyAlignment="1">
      <alignment horizontal="right" vertical="center"/>
    </xf>
    <xf numFmtId="0" fontId="1" fillId="0" borderId="13" xfId="0" applyFont="1" applyFill="1" applyBorder="1" applyAlignment="1">
      <alignment horizontal="right" vertical="center"/>
    </xf>
    <xf numFmtId="49" fontId="1" fillId="0" borderId="13" xfId="0" applyNumberFormat="1" applyFont="1" applyFill="1" applyBorder="1" applyAlignment="1">
      <alignment horizontal="center" vertical="center"/>
    </xf>
    <xf numFmtId="49" fontId="1" fillId="0" borderId="6" xfId="0" applyNumberFormat="1" applyFont="1" applyFill="1" applyBorder="1" applyAlignment="1">
      <alignment horizontal="center" vertical="center" wrapText="1"/>
    </xf>
    <xf numFmtId="49" fontId="5" fillId="0" borderId="6" xfId="0" applyNumberFormat="1" applyFont="1" applyFill="1" applyBorder="1" applyAlignment="1">
      <alignment horizontal="right" vertical="center"/>
    </xf>
    <xf numFmtId="49" fontId="1" fillId="0" borderId="6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right" vertical="center"/>
    </xf>
    <xf numFmtId="49" fontId="1" fillId="0" borderId="12" xfId="0" applyNumberFormat="1" applyFont="1" applyFill="1" applyBorder="1" applyAlignment="1">
      <alignment horizontal="right" vertical="center"/>
    </xf>
    <xf numFmtId="49" fontId="1" fillId="0" borderId="2" xfId="3" applyNumberFormat="1" applyFont="1" applyFill="1" applyBorder="1" applyAlignment="1">
      <alignment horizontal="center" vertical="center"/>
    </xf>
    <xf numFmtId="49" fontId="1" fillId="0" borderId="12" xfId="3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</cellXfs>
  <cellStyles count="6">
    <cellStyle name="Įprastas" xfId="0" builtinId="0"/>
    <cellStyle name="Įprastas 2" xfId="3" xr:uid="{00000000-0005-0000-0000-000001000000}"/>
    <cellStyle name="Normal_biudžetas 6_2009 m 02 men biudzetas." xfId="2" xr:uid="{00000000-0005-0000-0000-000002000000}"/>
    <cellStyle name="Normal_Sheet1" xfId="5" xr:uid="{00000000-0005-0000-0000-000003000000}"/>
    <cellStyle name="Normal_Sheet1_2009 m 02 men biudzetas." xfId="1" xr:uid="{00000000-0005-0000-0000-000004000000}"/>
    <cellStyle name="Paprastas 2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A335"/>
  <sheetViews>
    <sheetView tabSelected="1" workbookViewId="0">
      <selection activeCell="Z17" sqref="Z17"/>
    </sheetView>
  </sheetViews>
  <sheetFormatPr defaultColWidth="9.140625" defaultRowHeight="12.75" x14ac:dyDescent="0.2"/>
  <cols>
    <col min="1" max="1" width="4.28515625" style="1" customWidth="1"/>
    <col min="2" max="2" width="5.5703125" style="2" customWidth="1"/>
    <col min="3" max="3" width="44.28515625" style="4" customWidth="1"/>
    <col min="4" max="4" width="10.42578125" style="5" customWidth="1"/>
    <col min="5" max="5" width="9.42578125" style="4" customWidth="1"/>
    <col min="6" max="6" width="9.42578125" style="1" customWidth="1"/>
    <col min="7" max="8" width="9" style="4" customWidth="1"/>
    <col min="9" max="10" width="10.85546875" style="4" customWidth="1"/>
    <col min="11" max="11" width="8.28515625" style="4" customWidth="1"/>
    <col min="12" max="23" width="9.140625" style="3" hidden="1" customWidth="1"/>
    <col min="24" max="24" width="9.140625" style="4"/>
    <col min="25" max="25" width="17.5703125" style="3" customWidth="1"/>
    <col min="26" max="26" width="9.140625" style="3"/>
    <col min="27" max="27" width="12.7109375" style="3" customWidth="1"/>
    <col min="28" max="256" width="9.140625" style="3"/>
    <col min="257" max="257" width="4.28515625" style="3" customWidth="1"/>
    <col min="258" max="258" width="5.5703125" style="3" customWidth="1"/>
    <col min="259" max="259" width="44.28515625" style="3" customWidth="1"/>
    <col min="260" max="260" width="10.42578125" style="3" customWidth="1"/>
    <col min="261" max="262" width="9.42578125" style="3" customWidth="1"/>
    <col min="263" max="264" width="9" style="3" customWidth="1"/>
    <col min="265" max="266" width="10.85546875" style="3" customWidth="1"/>
    <col min="267" max="267" width="8.28515625" style="3" customWidth="1"/>
    <col min="268" max="279" width="0" style="3" hidden="1" customWidth="1"/>
    <col min="280" max="280" width="9.140625" style="3"/>
    <col min="281" max="281" width="17.5703125" style="3" customWidth="1"/>
    <col min="282" max="282" width="9.140625" style="3"/>
    <col min="283" max="283" width="12.7109375" style="3" customWidth="1"/>
    <col min="284" max="512" width="9.140625" style="3"/>
    <col min="513" max="513" width="4.28515625" style="3" customWidth="1"/>
    <col min="514" max="514" width="5.5703125" style="3" customWidth="1"/>
    <col min="515" max="515" width="44.28515625" style="3" customWidth="1"/>
    <col min="516" max="516" width="10.42578125" style="3" customWidth="1"/>
    <col min="517" max="518" width="9.42578125" style="3" customWidth="1"/>
    <col min="519" max="520" width="9" style="3" customWidth="1"/>
    <col min="521" max="522" width="10.85546875" style="3" customWidth="1"/>
    <col min="523" max="523" width="8.28515625" style="3" customWidth="1"/>
    <col min="524" max="535" width="0" style="3" hidden="1" customWidth="1"/>
    <col min="536" max="536" width="9.140625" style="3"/>
    <col min="537" max="537" width="17.5703125" style="3" customWidth="1"/>
    <col min="538" max="538" width="9.140625" style="3"/>
    <col min="539" max="539" width="12.7109375" style="3" customWidth="1"/>
    <col min="540" max="768" width="9.140625" style="3"/>
    <col min="769" max="769" width="4.28515625" style="3" customWidth="1"/>
    <col min="770" max="770" width="5.5703125" style="3" customWidth="1"/>
    <col min="771" max="771" width="44.28515625" style="3" customWidth="1"/>
    <col min="772" max="772" width="10.42578125" style="3" customWidth="1"/>
    <col min="773" max="774" width="9.42578125" style="3" customWidth="1"/>
    <col min="775" max="776" width="9" style="3" customWidth="1"/>
    <col min="777" max="778" width="10.85546875" style="3" customWidth="1"/>
    <col min="779" max="779" width="8.28515625" style="3" customWidth="1"/>
    <col min="780" max="791" width="0" style="3" hidden="1" customWidth="1"/>
    <col min="792" max="792" width="9.140625" style="3"/>
    <col min="793" max="793" width="17.5703125" style="3" customWidth="1"/>
    <col min="794" max="794" width="9.140625" style="3"/>
    <col min="795" max="795" width="12.7109375" style="3" customWidth="1"/>
    <col min="796" max="1024" width="9.140625" style="3"/>
    <col min="1025" max="1025" width="4.28515625" style="3" customWidth="1"/>
    <col min="1026" max="1026" width="5.5703125" style="3" customWidth="1"/>
    <col min="1027" max="1027" width="44.28515625" style="3" customWidth="1"/>
    <col min="1028" max="1028" width="10.42578125" style="3" customWidth="1"/>
    <col min="1029" max="1030" width="9.42578125" style="3" customWidth="1"/>
    <col min="1031" max="1032" width="9" style="3" customWidth="1"/>
    <col min="1033" max="1034" width="10.85546875" style="3" customWidth="1"/>
    <col min="1035" max="1035" width="8.28515625" style="3" customWidth="1"/>
    <col min="1036" max="1047" width="0" style="3" hidden="1" customWidth="1"/>
    <col min="1048" max="1048" width="9.140625" style="3"/>
    <col min="1049" max="1049" width="17.5703125" style="3" customWidth="1"/>
    <col min="1050" max="1050" width="9.140625" style="3"/>
    <col min="1051" max="1051" width="12.7109375" style="3" customWidth="1"/>
    <col min="1052" max="1280" width="9.140625" style="3"/>
    <col min="1281" max="1281" width="4.28515625" style="3" customWidth="1"/>
    <col min="1282" max="1282" width="5.5703125" style="3" customWidth="1"/>
    <col min="1283" max="1283" width="44.28515625" style="3" customWidth="1"/>
    <col min="1284" max="1284" width="10.42578125" style="3" customWidth="1"/>
    <col min="1285" max="1286" width="9.42578125" style="3" customWidth="1"/>
    <col min="1287" max="1288" width="9" style="3" customWidth="1"/>
    <col min="1289" max="1290" width="10.85546875" style="3" customWidth="1"/>
    <col min="1291" max="1291" width="8.28515625" style="3" customWidth="1"/>
    <col min="1292" max="1303" width="0" style="3" hidden="1" customWidth="1"/>
    <col min="1304" max="1304" width="9.140625" style="3"/>
    <col min="1305" max="1305" width="17.5703125" style="3" customWidth="1"/>
    <col min="1306" max="1306" width="9.140625" style="3"/>
    <col min="1307" max="1307" width="12.7109375" style="3" customWidth="1"/>
    <col min="1308" max="1536" width="9.140625" style="3"/>
    <col min="1537" max="1537" width="4.28515625" style="3" customWidth="1"/>
    <col min="1538" max="1538" width="5.5703125" style="3" customWidth="1"/>
    <col min="1539" max="1539" width="44.28515625" style="3" customWidth="1"/>
    <col min="1540" max="1540" width="10.42578125" style="3" customWidth="1"/>
    <col min="1541" max="1542" width="9.42578125" style="3" customWidth="1"/>
    <col min="1543" max="1544" width="9" style="3" customWidth="1"/>
    <col min="1545" max="1546" width="10.85546875" style="3" customWidth="1"/>
    <col min="1547" max="1547" width="8.28515625" style="3" customWidth="1"/>
    <col min="1548" max="1559" width="0" style="3" hidden="1" customWidth="1"/>
    <col min="1560" max="1560" width="9.140625" style="3"/>
    <col min="1561" max="1561" width="17.5703125" style="3" customWidth="1"/>
    <col min="1562" max="1562" width="9.140625" style="3"/>
    <col min="1563" max="1563" width="12.7109375" style="3" customWidth="1"/>
    <col min="1564" max="1792" width="9.140625" style="3"/>
    <col min="1793" max="1793" width="4.28515625" style="3" customWidth="1"/>
    <col min="1794" max="1794" width="5.5703125" style="3" customWidth="1"/>
    <col min="1795" max="1795" width="44.28515625" style="3" customWidth="1"/>
    <col min="1796" max="1796" width="10.42578125" style="3" customWidth="1"/>
    <col min="1797" max="1798" width="9.42578125" style="3" customWidth="1"/>
    <col min="1799" max="1800" width="9" style="3" customWidth="1"/>
    <col min="1801" max="1802" width="10.85546875" style="3" customWidth="1"/>
    <col min="1803" max="1803" width="8.28515625" style="3" customWidth="1"/>
    <col min="1804" max="1815" width="0" style="3" hidden="1" customWidth="1"/>
    <col min="1816" max="1816" width="9.140625" style="3"/>
    <col min="1817" max="1817" width="17.5703125" style="3" customWidth="1"/>
    <col min="1818" max="1818" width="9.140625" style="3"/>
    <col min="1819" max="1819" width="12.7109375" style="3" customWidth="1"/>
    <col min="1820" max="2048" width="9.140625" style="3"/>
    <col min="2049" max="2049" width="4.28515625" style="3" customWidth="1"/>
    <col min="2050" max="2050" width="5.5703125" style="3" customWidth="1"/>
    <col min="2051" max="2051" width="44.28515625" style="3" customWidth="1"/>
    <col min="2052" max="2052" width="10.42578125" style="3" customWidth="1"/>
    <col min="2053" max="2054" width="9.42578125" style="3" customWidth="1"/>
    <col min="2055" max="2056" width="9" style="3" customWidth="1"/>
    <col min="2057" max="2058" width="10.85546875" style="3" customWidth="1"/>
    <col min="2059" max="2059" width="8.28515625" style="3" customWidth="1"/>
    <col min="2060" max="2071" width="0" style="3" hidden="1" customWidth="1"/>
    <col min="2072" max="2072" width="9.140625" style="3"/>
    <col min="2073" max="2073" width="17.5703125" style="3" customWidth="1"/>
    <col min="2074" max="2074" width="9.140625" style="3"/>
    <col min="2075" max="2075" width="12.7109375" style="3" customWidth="1"/>
    <col min="2076" max="2304" width="9.140625" style="3"/>
    <col min="2305" max="2305" width="4.28515625" style="3" customWidth="1"/>
    <col min="2306" max="2306" width="5.5703125" style="3" customWidth="1"/>
    <col min="2307" max="2307" width="44.28515625" style="3" customWidth="1"/>
    <col min="2308" max="2308" width="10.42578125" style="3" customWidth="1"/>
    <col min="2309" max="2310" width="9.42578125" style="3" customWidth="1"/>
    <col min="2311" max="2312" width="9" style="3" customWidth="1"/>
    <col min="2313" max="2314" width="10.85546875" style="3" customWidth="1"/>
    <col min="2315" max="2315" width="8.28515625" style="3" customWidth="1"/>
    <col min="2316" max="2327" width="0" style="3" hidden="1" customWidth="1"/>
    <col min="2328" max="2328" width="9.140625" style="3"/>
    <col min="2329" max="2329" width="17.5703125" style="3" customWidth="1"/>
    <col min="2330" max="2330" width="9.140625" style="3"/>
    <col min="2331" max="2331" width="12.7109375" style="3" customWidth="1"/>
    <col min="2332" max="2560" width="9.140625" style="3"/>
    <col min="2561" max="2561" width="4.28515625" style="3" customWidth="1"/>
    <col min="2562" max="2562" width="5.5703125" style="3" customWidth="1"/>
    <col min="2563" max="2563" width="44.28515625" style="3" customWidth="1"/>
    <col min="2564" max="2564" width="10.42578125" style="3" customWidth="1"/>
    <col min="2565" max="2566" width="9.42578125" style="3" customWidth="1"/>
    <col min="2567" max="2568" width="9" style="3" customWidth="1"/>
    <col min="2569" max="2570" width="10.85546875" style="3" customWidth="1"/>
    <col min="2571" max="2571" width="8.28515625" style="3" customWidth="1"/>
    <col min="2572" max="2583" width="0" style="3" hidden="1" customWidth="1"/>
    <col min="2584" max="2584" width="9.140625" style="3"/>
    <col min="2585" max="2585" width="17.5703125" style="3" customWidth="1"/>
    <col min="2586" max="2586" width="9.140625" style="3"/>
    <col min="2587" max="2587" width="12.7109375" style="3" customWidth="1"/>
    <col min="2588" max="2816" width="9.140625" style="3"/>
    <col min="2817" max="2817" width="4.28515625" style="3" customWidth="1"/>
    <col min="2818" max="2818" width="5.5703125" style="3" customWidth="1"/>
    <col min="2819" max="2819" width="44.28515625" style="3" customWidth="1"/>
    <col min="2820" max="2820" width="10.42578125" style="3" customWidth="1"/>
    <col min="2821" max="2822" width="9.42578125" style="3" customWidth="1"/>
    <col min="2823" max="2824" width="9" style="3" customWidth="1"/>
    <col min="2825" max="2826" width="10.85546875" style="3" customWidth="1"/>
    <col min="2827" max="2827" width="8.28515625" style="3" customWidth="1"/>
    <col min="2828" max="2839" width="0" style="3" hidden="1" customWidth="1"/>
    <col min="2840" max="2840" width="9.140625" style="3"/>
    <col min="2841" max="2841" width="17.5703125" style="3" customWidth="1"/>
    <col min="2842" max="2842" width="9.140625" style="3"/>
    <col min="2843" max="2843" width="12.7109375" style="3" customWidth="1"/>
    <col min="2844" max="3072" width="9.140625" style="3"/>
    <col min="3073" max="3073" width="4.28515625" style="3" customWidth="1"/>
    <col min="3074" max="3074" width="5.5703125" style="3" customWidth="1"/>
    <col min="3075" max="3075" width="44.28515625" style="3" customWidth="1"/>
    <col min="3076" max="3076" width="10.42578125" style="3" customWidth="1"/>
    <col min="3077" max="3078" width="9.42578125" style="3" customWidth="1"/>
    <col min="3079" max="3080" width="9" style="3" customWidth="1"/>
    <col min="3081" max="3082" width="10.85546875" style="3" customWidth="1"/>
    <col min="3083" max="3083" width="8.28515625" style="3" customWidth="1"/>
    <col min="3084" max="3095" width="0" style="3" hidden="1" customWidth="1"/>
    <col min="3096" max="3096" width="9.140625" style="3"/>
    <col min="3097" max="3097" width="17.5703125" style="3" customWidth="1"/>
    <col min="3098" max="3098" width="9.140625" style="3"/>
    <col min="3099" max="3099" width="12.7109375" style="3" customWidth="1"/>
    <col min="3100" max="3328" width="9.140625" style="3"/>
    <col min="3329" max="3329" width="4.28515625" style="3" customWidth="1"/>
    <col min="3330" max="3330" width="5.5703125" style="3" customWidth="1"/>
    <col min="3331" max="3331" width="44.28515625" style="3" customWidth="1"/>
    <col min="3332" max="3332" width="10.42578125" style="3" customWidth="1"/>
    <col min="3333" max="3334" width="9.42578125" style="3" customWidth="1"/>
    <col min="3335" max="3336" width="9" style="3" customWidth="1"/>
    <col min="3337" max="3338" width="10.85546875" style="3" customWidth="1"/>
    <col min="3339" max="3339" width="8.28515625" style="3" customWidth="1"/>
    <col min="3340" max="3351" width="0" style="3" hidden="1" customWidth="1"/>
    <col min="3352" max="3352" width="9.140625" style="3"/>
    <col min="3353" max="3353" width="17.5703125" style="3" customWidth="1"/>
    <col min="3354" max="3354" width="9.140625" style="3"/>
    <col min="3355" max="3355" width="12.7109375" style="3" customWidth="1"/>
    <col min="3356" max="3584" width="9.140625" style="3"/>
    <col min="3585" max="3585" width="4.28515625" style="3" customWidth="1"/>
    <col min="3586" max="3586" width="5.5703125" style="3" customWidth="1"/>
    <col min="3587" max="3587" width="44.28515625" style="3" customWidth="1"/>
    <col min="3588" max="3588" width="10.42578125" style="3" customWidth="1"/>
    <col min="3589" max="3590" width="9.42578125" style="3" customWidth="1"/>
    <col min="3591" max="3592" width="9" style="3" customWidth="1"/>
    <col min="3593" max="3594" width="10.85546875" style="3" customWidth="1"/>
    <col min="3595" max="3595" width="8.28515625" style="3" customWidth="1"/>
    <col min="3596" max="3607" width="0" style="3" hidden="1" customWidth="1"/>
    <col min="3608" max="3608" width="9.140625" style="3"/>
    <col min="3609" max="3609" width="17.5703125" style="3" customWidth="1"/>
    <col min="3610" max="3610" width="9.140625" style="3"/>
    <col min="3611" max="3611" width="12.7109375" style="3" customWidth="1"/>
    <col min="3612" max="3840" width="9.140625" style="3"/>
    <col min="3841" max="3841" width="4.28515625" style="3" customWidth="1"/>
    <col min="3842" max="3842" width="5.5703125" style="3" customWidth="1"/>
    <col min="3843" max="3843" width="44.28515625" style="3" customWidth="1"/>
    <col min="3844" max="3844" width="10.42578125" style="3" customWidth="1"/>
    <col min="3845" max="3846" width="9.42578125" style="3" customWidth="1"/>
    <col min="3847" max="3848" width="9" style="3" customWidth="1"/>
    <col min="3849" max="3850" width="10.85546875" style="3" customWidth="1"/>
    <col min="3851" max="3851" width="8.28515625" style="3" customWidth="1"/>
    <col min="3852" max="3863" width="0" style="3" hidden="1" customWidth="1"/>
    <col min="3864" max="3864" width="9.140625" style="3"/>
    <col min="3865" max="3865" width="17.5703125" style="3" customWidth="1"/>
    <col min="3866" max="3866" width="9.140625" style="3"/>
    <col min="3867" max="3867" width="12.7109375" style="3" customWidth="1"/>
    <col min="3868" max="4096" width="9.140625" style="3"/>
    <col min="4097" max="4097" width="4.28515625" style="3" customWidth="1"/>
    <col min="4098" max="4098" width="5.5703125" style="3" customWidth="1"/>
    <col min="4099" max="4099" width="44.28515625" style="3" customWidth="1"/>
    <col min="4100" max="4100" width="10.42578125" style="3" customWidth="1"/>
    <col min="4101" max="4102" width="9.42578125" style="3" customWidth="1"/>
    <col min="4103" max="4104" width="9" style="3" customWidth="1"/>
    <col min="4105" max="4106" width="10.85546875" style="3" customWidth="1"/>
    <col min="4107" max="4107" width="8.28515625" style="3" customWidth="1"/>
    <col min="4108" max="4119" width="0" style="3" hidden="1" customWidth="1"/>
    <col min="4120" max="4120" width="9.140625" style="3"/>
    <col min="4121" max="4121" width="17.5703125" style="3" customWidth="1"/>
    <col min="4122" max="4122" width="9.140625" style="3"/>
    <col min="4123" max="4123" width="12.7109375" style="3" customWidth="1"/>
    <col min="4124" max="4352" width="9.140625" style="3"/>
    <col min="4353" max="4353" width="4.28515625" style="3" customWidth="1"/>
    <col min="4354" max="4354" width="5.5703125" style="3" customWidth="1"/>
    <col min="4355" max="4355" width="44.28515625" style="3" customWidth="1"/>
    <col min="4356" max="4356" width="10.42578125" style="3" customWidth="1"/>
    <col min="4357" max="4358" width="9.42578125" style="3" customWidth="1"/>
    <col min="4359" max="4360" width="9" style="3" customWidth="1"/>
    <col min="4361" max="4362" width="10.85546875" style="3" customWidth="1"/>
    <col min="4363" max="4363" width="8.28515625" style="3" customWidth="1"/>
    <col min="4364" max="4375" width="0" style="3" hidden="1" customWidth="1"/>
    <col min="4376" max="4376" width="9.140625" style="3"/>
    <col min="4377" max="4377" width="17.5703125" style="3" customWidth="1"/>
    <col min="4378" max="4378" width="9.140625" style="3"/>
    <col min="4379" max="4379" width="12.7109375" style="3" customWidth="1"/>
    <col min="4380" max="4608" width="9.140625" style="3"/>
    <col min="4609" max="4609" width="4.28515625" style="3" customWidth="1"/>
    <col min="4610" max="4610" width="5.5703125" style="3" customWidth="1"/>
    <col min="4611" max="4611" width="44.28515625" style="3" customWidth="1"/>
    <col min="4612" max="4612" width="10.42578125" style="3" customWidth="1"/>
    <col min="4613" max="4614" width="9.42578125" style="3" customWidth="1"/>
    <col min="4615" max="4616" width="9" style="3" customWidth="1"/>
    <col min="4617" max="4618" width="10.85546875" style="3" customWidth="1"/>
    <col min="4619" max="4619" width="8.28515625" style="3" customWidth="1"/>
    <col min="4620" max="4631" width="0" style="3" hidden="1" customWidth="1"/>
    <col min="4632" max="4632" width="9.140625" style="3"/>
    <col min="4633" max="4633" width="17.5703125" style="3" customWidth="1"/>
    <col min="4634" max="4634" width="9.140625" style="3"/>
    <col min="4635" max="4635" width="12.7109375" style="3" customWidth="1"/>
    <col min="4636" max="4864" width="9.140625" style="3"/>
    <col min="4865" max="4865" width="4.28515625" style="3" customWidth="1"/>
    <col min="4866" max="4866" width="5.5703125" style="3" customWidth="1"/>
    <col min="4867" max="4867" width="44.28515625" style="3" customWidth="1"/>
    <col min="4868" max="4868" width="10.42578125" style="3" customWidth="1"/>
    <col min="4869" max="4870" width="9.42578125" style="3" customWidth="1"/>
    <col min="4871" max="4872" width="9" style="3" customWidth="1"/>
    <col min="4873" max="4874" width="10.85546875" style="3" customWidth="1"/>
    <col min="4875" max="4875" width="8.28515625" style="3" customWidth="1"/>
    <col min="4876" max="4887" width="0" style="3" hidden="1" customWidth="1"/>
    <col min="4888" max="4888" width="9.140625" style="3"/>
    <col min="4889" max="4889" width="17.5703125" style="3" customWidth="1"/>
    <col min="4890" max="4890" width="9.140625" style="3"/>
    <col min="4891" max="4891" width="12.7109375" style="3" customWidth="1"/>
    <col min="4892" max="5120" width="9.140625" style="3"/>
    <col min="5121" max="5121" width="4.28515625" style="3" customWidth="1"/>
    <col min="5122" max="5122" width="5.5703125" style="3" customWidth="1"/>
    <col min="5123" max="5123" width="44.28515625" style="3" customWidth="1"/>
    <col min="5124" max="5124" width="10.42578125" style="3" customWidth="1"/>
    <col min="5125" max="5126" width="9.42578125" style="3" customWidth="1"/>
    <col min="5127" max="5128" width="9" style="3" customWidth="1"/>
    <col min="5129" max="5130" width="10.85546875" style="3" customWidth="1"/>
    <col min="5131" max="5131" width="8.28515625" style="3" customWidth="1"/>
    <col min="5132" max="5143" width="0" style="3" hidden="1" customWidth="1"/>
    <col min="5144" max="5144" width="9.140625" style="3"/>
    <col min="5145" max="5145" width="17.5703125" style="3" customWidth="1"/>
    <col min="5146" max="5146" width="9.140625" style="3"/>
    <col min="5147" max="5147" width="12.7109375" style="3" customWidth="1"/>
    <col min="5148" max="5376" width="9.140625" style="3"/>
    <col min="5377" max="5377" width="4.28515625" style="3" customWidth="1"/>
    <col min="5378" max="5378" width="5.5703125" style="3" customWidth="1"/>
    <col min="5379" max="5379" width="44.28515625" style="3" customWidth="1"/>
    <col min="5380" max="5380" width="10.42578125" style="3" customWidth="1"/>
    <col min="5381" max="5382" width="9.42578125" style="3" customWidth="1"/>
    <col min="5383" max="5384" width="9" style="3" customWidth="1"/>
    <col min="5385" max="5386" width="10.85546875" style="3" customWidth="1"/>
    <col min="5387" max="5387" width="8.28515625" style="3" customWidth="1"/>
    <col min="5388" max="5399" width="0" style="3" hidden="1" customWidth="1"/>
    <col min="5400" max="5400" width="9.140625" style="3"/>
    <col min="5401" max="5401" width="17.5703125" style="3" customWidth="1"/>
    <col min="5402" max="5402" width="9.140625" style="3"/>
    <col min="5403" max="5403" width="12.7109375" style="3" customWidth="1"/>
    <col min="5404" max="5632" width="9.140625" style="3"/>
    <col min="5633" max="5633" width="4.28515625" style="3" customWidth="1"/>
    <col min="5634" max="5634" width="5.5703125" style="3" customWidth="1"/>
    <col min="5635" max="5635" width="44.28515625" style="3" customWidth="1"/>
    <col min="5636" max="5636" width="10.42578125" style="3" customWidth="1"/>
    <col min="5637" max="5638" width="9.42578125" style="3" customWidth="1"/>
    <col min="5639" max="5640" width="9" style="3" customWidth="1"/>
    <col min="5641" max="5642" width="10.85546875" style="3" customWidth="1"/>
    <col min="5643" max="5643" width="8.28515625" style="3" customWidth="1"/>
    <col min="5644" max="5655" width="0" style="3" hidden="1" customWidth="1"/>
    <col min="5656" max="5656" width="9.140625" style="3"/>
    <col min="5657" max="5657" width="17.5703125" style="3" customWidth="1"/>
    <col min="5658" max="5658" width="9.140625" style="3"/>
    <col min="5659" max="5659" width="12.7109375" style="3" customWidth="1"/>
    <col min="5660" max="5888" width="9.140625" style="3"/>
    <col min="5889" max="5889" width="4.28515625" style="3" customWidth="1"/>
    <col min="5890" max="5890" width="5.5703125" style="3" customWidth="1"/>
    <col min="5891" max="5891" width="44.28515625" style="3" customWidth="1"/>
    <col min="5892" max="5892" width="10.42578125" style="3" customWidth="1"/>
    <col min="5893" max="5894" width="9.42578125" style="3" customWidth="1"/>
    <col min="5895" max="5896" width="9" style="3" customWidth="1"/>
    <col min="5897" max="5898" width="10.85546875" style="3" customWidth="1"/>
    <col min="5899" max="5899" width="8.28515625" style="3" customWidth="1"/>
    <col min="5900" max="5911" width="0" style="3" hidden="1" customWidth="1"/>
    <col min="5912" max="5912" width="9.140625" style="3"/>
    <col min="5913" max="5913" width="17.5703125" style="3" customWidth="1"/>
    <col min="5914" max="5914" width="9.140625" style="3"/>
    <col min="5915" max="5915" width="12.7109375" style="3" customWidth="1"/>
    <col min="5916" max="6144" width="9.140625" style="3"/>
    <col min="6145" max="6145" width="4.28515625" style="3" customWidth="1"/>
    <col min="6146" max="6146" width="5.5703125" style="3" customWidth="1"/>
    <col min="6147" max="6147" width="44.28515625" style="3" customWidth="1"/>
    <col min="6148" max="6148" width="10.42578125" style="3" customWidth="1"/>
    <col min="6149" max="6150" width="9.42578125" style="3" customWidth="1"/>
    <col min="6151" max="6152" width="9" style="3" customWidth="1"/>
    <col min="6153" max="6154" width="10.85546875" style="3" customWidth="1"/>
    <col min="6155" max="6155" width="8.28515625" style="3" customWidth="1"/>
    <col min="6156" max="6167" width="0" style="3" hidden="1" customWidth="1"/>
    <col min="6168" max="6168" width="9.140625" style="3"/>
    <col min="6169" max="6169" width="17.5703125" style="3" customWidth="1"/>
    <col min="6170" max="6170" width="9.140625" style="3"/>
    <col min="6171" max="6171" width="12.7109375" style="3" customWidth="1"/>
    <col min="6172" max="6400" width="9.140625" style="3"/>
    <col min="6401" max="6401" width="4.28515625" style="3" customWidth="1"/>
    <col min="6402" max="6402" width="5.5703125" style="3" customWidth="1"/>
    <col min="6403" max="6403" width="44.28515625" style="3" customWidth="1"/>
    <col min="6404" max="6404" width="10.42578125" style="3" customWidth="1"/>
    <col min="6405" max="6406" width="9.42578125" style="3" customWidth="1"/>
    <col min="6407" max="6408" width="9" style="3" customWidth="1"/>
    <col min="6409" max="6410" width="10.85546875" style="3" customWidth="1"/>
    <col min="6411" max="6411" width="8.28515625" style="3" customWidth="1"/>
    <col min="6412" max="6423" width="0" style="3" hidden="1" customWidth="1"/>
    <col min="6424" max="6424" width="9.140625" style="3"/>
    <col min="6425" max="6425" width="17.5703125" style="3" customWidth="1"/>
    <col min="6426" max="6426" width="9.140625" style="3"/>
    <col min="6427" max="6427" width="12.7109375" style="3" customWidth="1"/>
    <col min="6428" max="6656" width="9.140625" style="3"/>
    <col min="6657" max="6657" width="4.28515625" style="3" customWidth="1"/>
    <col min="6658" max="6658" width="5.5703125" style="3" customWidth="1"/>
    <col min="6659" max="6659" width="44.28515625" style="3" customWidth="1"/>
    <col min="6660" max="6660" width="10.42578125" style="3" customWidth="1"/>
    <col min="6661" max="6662" width="9.42578125" style="3" customWidth="1"/>
    <col min="6663" max="6664" width="9" style="3" customWidth="1"/>
    <col min="6665" max="6666" width="10.85546875" style="3" customWidth="1"/>
    <col min="6667" max="6667" width="8.28515625" style="3" customWidth="1"/>
    <col min="6668" max="6679" width="0" style="3" hidden="1" customWidth="1"/>
    <col min="6680" max="6680" width="9.140625" style="3"/>
    <col min="6681" max="6681" width="17.5703125" style="3" customWidth="1"/>
    <col min="6682" max="6682" width="9.140625" style="3"/>
    <col min="6683" max="6683" width="12.7109375" style="3" customWidth="1"/>
    <col min="6684" max="6912" width="9.140625" style="3"/>
    <col min="6913" max="6913" width="4.28515625" style="3" customWidth="1"/>
    <col min="6914" max="6914" width="5.5703125" style="3" customWidth="1"/>
    <col min="6915" max="6915" width="44.28515625" style="3" customWidth="1"/>
    <col min="6916" max="6916" width="10.42578125" style="3" customWidth="1"/>
    <col min="6917" max="6918" width="9.42578125" style="3" customWidth="1"/>
    <col min="6919" max="6920" width="9" style="3" customWidth="1"/>
    <col min="6921" max="6922" width="10.85546875" style="3" customWidth="1"/>
    <col min="6923" max="6923" width="8.28515625" style="3" customWidth="1"/>
    <col min="6924" max="6935" width="0" style="3" hidden="1" customWidth="1"/>
    <col min="6936" max="6936" width="9.140625" style="3"/>
    <col min="6937" max="6937" width="17.5703125" style="3" customWidth="1"/>
    <col min="6938" max="6938" width="9.140625" style="3"/>
    <col min="6939" max="6939" width="12.7109375" style="3" customWidth="1"/>
    <col min="6940" max="7168" width="9.140625" style="3"/>
    <col min="7169" max="7169" width="4.28515625" style="3" customWidth="1"/>
    <col min="7170" max="7170" width="5.5703125" style="3" customWidth="1"/>
    <col min="7171" max="7171" width="44.28515625" style="3" customWidth="1"/>
    <col min="7172" max="7172" width="10.42578125" style="3" customWidth="1"/>
    <col min="7173" max="7174" width="9.42578125" style="3" customWidth="1"/>
    <col min="7175" max="7176" width="9" style="3" customWidth="1"/>
    <col min="7177" max="7178" width="10.85546875" style="3" customWidth="1"/>
    <col min="7179" max="7179" width="8.28515625" style="3" customWidth="1"/>
    <col min="7180" max="7191" width="0" style="3" hidden="1" customWidth="1"/>
    <col min="7192" max="7192" width="9.140625" style="3"/>
    <col min="7193" max="7193" width="17.5703125" style="3" customWidth="1"/>
    <col min="7194" max="7194" width="9.140625" style="3"/>
    <col min="7195" max="7195" width="12.7109375" style="3" customWidth="1"/>
    <col min="7196" max="7424" width="9.140625" style="3"/>
    <col min="7425" max="7425" width="4.28515625" style="3" customWidth="1"/>
    <col min="7426" max="7426" width="5.5703125" style="3" customWidth="1"/>
    <col min="7427" max="7427" width="44.28515625" style="3" customWidth="1"/>
    <col min="7428" max="7428" width="10.42578125" style="3" customWidth="1"/>
    <col min="7429" max="7430" width="9.42578125" style="3" customWidth="1"/>
    <col min="7431" max="7432" width="9" style="3" customWidth="1"/>
    <col min="7433" max="7434" width="10.85546875" style="3" customWidth="1"/>
    <col min="7435" max="7435" width="8.28515625" style="3" customWidth="1"/>
    <col min="7436" max="7447" width="0" style="3" hidden="1" customWidth="1"/>
    <col min="7448" max="7448" width="9.140625" style="3"/>
    <col min="7449" max="7449" width="17.5703125" style="3" customWidth="1"/>
    <col min="7450" max="7450" width="9.140625" style="3"/>
    <col min="7451" max="7451" width="12.7109375" style="3" customWidth="1"/>
    <col min="7452" max="7680" width="9.140625" style="3"/>
    <col min="7681" max="7681" width="4.28515625" style="3" customWidth="1"/>
    <col min="7682" max="7682" width="5.5703125" style="3" customWidth="1"/>
    <col min="7683" max="7683" width="44.28515625" style="3" customWidth="1"/>
    <col min="7684" max="7684" width="10.42578125" style="3" customWidth="1"/>
    <col min="7685" max="7686" width="9.42578125" style="3" customWidth="1"/>
    <col min="7687" max="7688" width="9" style="3" customWidth="1"/>
    <col min="7689" max="7690" width="10.85546875" style="3" customWidth="1"/>
    <col min="7691" max="7691" width="8.28515625" style="3" customWidth="1"/>
    <col min="7692" max="7703" width="0" style="3" hidden="1" customWidth="1"/>
    <col min="7704" max="7704" width="9.140625" style="3"/>
    <col min="7705" max="7705" width="17.5703125" style="3" customWidth="1"/>
    <col min="7706" max="7706" width="9.140625" style="3"/>
    <col min="7707" max="7707" width="12.7109375" style="3" customWidth="1"/>
    <col min="7708" max="7936" width="9.140625" style="3"/>
    <col min="7937" max="7937" width="4.28515625" style="3" customWidth="1"/>
    <col min="7938" max="7938" width="5.5703125" style="3" customWidth="1"/>
    <col min="7939" max="7939" width="44.28515625" style="3" customWidth="1"/>
    <col min="7940" max="7940" width="10.42578125" style="3" customWidth="1"/>
    <col min="7941" max="7942" width="9.42578125" style="3" customWidth="1"/>
    <col min="7943" max="7944" width="9" style="3" customWidth="1"/>
    <col min="7945" max="7946" width="10.85546875" style="3" customWidth="1"/>
    <col min="7947" max="7947" width="8.28515625" style="3" customWidth="1"/>
    <col min="7948" max="7959" width="0" style="3" hidden="1" customWidth="1"/>
    <col min="7960" max="7960" width="9.140625" style="3"/>
    <col min="7961" max="7961" width="17.5703125" style="3" customWidth="1"/>
    <col min="7962" max="7962" width="9.140625" style="3"/>
    <col min="7963" max="7963" width="12.7109375" style="3" customWidth="1"/>
    <col min="7964" max="8192" width="9.140625" style="3"/>
    <col min="8193" max="8193" width="4.28515625" style="3" customWidth="1"/>
    <col min="8194" max="8194" width="5.5703125" style="3" customWidth="1"/>
    <col min="8195" max="8195" width="44.28515625" style="3" customWidth="1"/>
    <col min="8196" max="8196" width="10.42578125" style="3" customWidth="1"/>
    <col min="8197" max="8198" width="9.42578125" style="3" customWidth="1"/>
    <col min="8199" max="8200" width="9" style="3" customWidth="1"/>
    <col min="8201" max="8202" width="10.85546875" style="3" customWidth="1"/>
    <col min="8203" max="8203" width="8.28515625" style="3" customWidth="1"/>
    <col min="8204" max="8215" width="0" style="3" hidden="1" customWidth="1"/>
    <col min="8216" max="8216" width="9.140625" style="3"/>
    <col min="8217" max="8217" width="17.5703125" style="3" customWidth="1"/>
    <col min="8218" max="8218" width="9.140625" style="3"/>
    <col min="8219" max="8219" width="12.7109375" style="3" customWidth="1"/>
    <col min="8220" max="8448" width="9.140625" style="3"/>
    <col min="8449" max="8449" width="4.28515625" style="3" customWidth="1"/>
    <col min="8450" max="8450" width="5.5703125" style="3" customWidth="1"/>
    <col min="8451" max="8451" width="44.28515625" style="3" customWidth="1"/>
    <col min="8452" max="8452" width="10.42578125" style="3" customWidth="1"/>
    <col min="8453" max="8454" width="9.42578125" style="3" customWidth="1"/>
    <col min="8455" max="8456" width="9" style="3" customWidth="1"/>
    <col min="8457" max="8458" width="10.85546875" style="3" customWidth="1"/>
    <col min="8459" max="8459" width="8.28515625" style="3" customWidth="1"/>
    <col min="8460" max="8471" width="0" style="3" hidden="1" customWidth="1"/>
    <col min="8472" max="8472" width="9.140625" style="3"/>
    <col min="8473" max="8473" width="17.5703125" style="3" customWidth="1"/>
    <col min="8474" max="8474" width="9.140625" style="3"/>
    <col min="8475" max="8475" width="12.7109375" style="3" customWidth="1"/>
    <col min="8476" max="8704" width="9.140625" style="3"/>
    <col min="8705" max="8705" width="4.28515625" style="3" customWidth="1"/>
    <col min="8706" max="8706" width="5.5703125" style="3" customWidth="1"/>
    <col min="8707" max="8707" width="44.28515625" style="3" customWidth="1"/>
    <col min="8708" max="8708" width="10.42578125" style="3" customWidth="1"/>
    <col min="8709" max="8710" width="9.42578125" style="3" customWidth="1"/>
    <col min="8711" max="8712" width="9" style="3" customWidth="1"/>
    <col min="8713" max="8714" width="10.85546875" style="3" customWidth="1"/>
    <col min="8715" max="8715" width="8.28515625" style="3" customWidth="1"/>
    <col min="8716" max="8727" width="0" style="3" hidden="1" customWidth="1"/>
    <col min="8728" max="8728" width="9.140625" style="3"/>
    <col min="8729" max="8729" width="17.5703125" style="3" customWidth="1"/>
    <col min="8730" max="8730" width="9.140625" style="3"/>
    <col min="8731" max="8731" width="12.7109375" style="3" customWidth="1"/>
    <col min="8732" max="8960" width="9.140625" style="3"/>
    <col min="8961" max="8961" width="4.28515625" style="3" customWidth="1"/>
    <col min="8962" max="8962" width="5.5703125" style="3" customWidth="1"/>
    <col min="8963" max="8963" width="44.28515625" style="3" customWidth="1"/>
    <col min="8964" max="8964" width="10.42578125" style="3" customWidth="1"/>
    <col min="8965" max="8966" width="9.42578125" style="3" customWidth="1"/>
    <col min="8967" max="8968" width="9" style="3" customWidth="1"/>
    <col min="8969" max="8970" width="10.85546875" style="3" customWidth="1"/>
    <col min="8971" max="8971" width="8.28515625" style="3" customWidth="1"/>
    <col min="8972" max="8983" width="0" style="3" hidden="1" customWidth="1"/>
    <col min="8984" max="8984" width="9.140625" style="3"/>
    <col min="8985" max="8985" width="17.5703125" style="3" customWidth="1"/>
    <col min="8986" max="8986" width="9.140625" style="3"/>
    <col min="8987" max="8987" width="12.7109375" style="3" customWidth="1"/>
    <col min="8988" max="9216" width="9.140625" style="3"/>
    <col min="9217" max="9217" width="4.28515625" style="3" customWidth="1"/>
    <col min="9218" max="9218" width="5.5703125" style="3" customWidth="1"/>
    <col min="9219" max="9219" width="44.28515625" style="3" customWidth="1"/>
    <col min="9220" max="9220" width="10.42578125" style="3" customWidth="1"/>
    <col min="9221" max="9222" width="9.42578125" style="3" customWidth="1"/>
    <col min="9223" max="9224" width="9" style="3" customWidth="1"/>
    <col min="9225" max="9226" width="10.85546875" style="3" customWidth="1"/>
    <col min="9227" max="9227" width="8.28515625" style="3" customWidth="1"/>
    <col min="9228" max="9239" width="0" style="3" hidden="1" customWidth="1"/>
    <col min="9240" max="9240" width="9.140625" style="3"/>
    <col min="9241" max="9241" width="17.5703125" style="3" customWidth="1"/>
    <col min="9242" max="9242" width="9.140625" style="3"/>
    <col min="9243" max="9243" width="12.7109375" style="3" customWidth="1"/>
    <col min="9244" max="9472" width="9.140625" style="3"/>
    <col min="9473" max="9473" width="4.28515625" style="3" customWidth="1"/>
    <col min="9474" max="9474" width="5.5703125" style="3" customWidth="1"/>
    <col min="9475" max="9475" width="44.28515625" style="3" customWidth="1"/>
    <col min="9476" max="9476" width="10.42578125" style="3" customWidth="1"/>
    <col min="9477" max="9478" width="9.42578125" style="3" customWidth="1"/>
    <col min="9479" max="9480" width="9" style="3" customWidth="1"/>
    <col min="9481" max="9482" width="10.85546875" style="3" customWidth="1"/>
    <col min="9483" max="9483" width="8.28515625" style="3" customWidth="1"/>
    <col min="9484" max="9495" width="0" style="3" hidden="1" customWidth="1"/>
    <col min="9496" max="9496" width="9.140625" style="3"/>
    <col min="9497" max="9497" width="17.5703125" style="3" customWidth="1"/>
    <col min="9498" max="9498" width="9.140625" style="3"/>
    <col min="9499" max="9499" width="12.7109375" style="3" customWidth="1"/>
    <col min="9500" max="9728" width="9.140625" style="3"/>
    <col min="9729" max="9729" width="4.28515625" style="3" customWidth="1"/>
    <col min="9730" max="9730" width="5.5703125" style="3" customWidth="1"/>
    <col min="9731" max="9731" width="44.28515625" style="3" customWidth="1"/>
    <col min="9732" max="9732" width="10.42578125" style="3" customWidth="1"/>
    <col min="9733" max="9734" width="9.42578125" style="3" customWidth="1"/>
    <col min="9735" max="9736" width="9" style="3" customWidth="1"/>
    <col min="9737" max="9738" width="10.85546875" style="3" customWidth="1"/>
    <col min="9739" max="9739" width="8.28515625" style="3" customWidth="1"/>
    <col min="9740" max="9751" width="0" style="3" hidden="1" customWidth="1"/>
    <col min="9752" max="9752" width="9.140625" style="3"/>
    <col min="9753" max="9753" width="17.5703125" style="3" customWidth="1"/>
    <col min="9754" max="9754" width="9.140625" style="3"/>
    <col min="9755" max="9755" width="12.7109375" style="3" customWidth="1"/>
    <col min="9756" max="9984" width="9.140625" style="3"/>
    <col min="9985" max="9985" width="4.28515625" style="3" customWidth="1"/>
    <col min="9986" max="9986" width="5.5703125" style="3" customWidth="1"/>
    <col min="9987" max="9987" width="44.28515625" style="3" customWidth="1"/>
    <col min="9988" max="9988" width="10.42578125" style="3" customWidth="1"/>
    <col min="9989" max="9990" width="9.42578125" style="3" customWidth="1"/>
    <col min="9991" max="9992" width="9" style="3" customWidth="1"/>
    <col min="9993" max="9994" width="10.85546875" style="3" customWidth="1"/>
    <col min="9995" max="9995" width="8.28515625" style="3" customWidth="1"/>
    <col min="9996" max="10007" width="0" style="3" hidden="1" customWidth="1"/>
    <col min="10008" max="10008" width="9.140625" style="3"/>
    <col min="10009" max="10009" width="17.5703125" style="3" customWidth="1"/>
    <col min="10010" max="10010" width="9.140625" style="3"/>
    <col min="10011" max="10011" width="12.7109375" style="3" customWidth="1"/>
    <col min="10012" max="10240" width="9.140625" style="3"/>
    <col min="10241" max="10241" width="4.28515625" style="3" customWidth="1"/>
    <col min="10242" max="10242" width="5.5703125" style="3" customWidth="1"/>
    <col min="10243" max="10243" width="44.28515625" style="3" customWidth="1"/>
    <col min="10244" max="10244" width="10.42578125" style="3" customWidth="1"/>
    <col min="10245" max="10246" width="9.42578125" style="3" customWidth="1"/>
    <col min="10247" max="10248" width="9" style="3" customWidth="1"/>
    <col min="10249" max="10250" width="10.85546875" style="3" customWidth="1"/>
    <col min="10251" max="10251" width="8.28515625" style="3" customWidth="1"/>
    <col min="10252" max="10263" width="0" style="3" hidden="1" customWidth="1"/>
    <col min="10264" max="10264" width="9.140625" style="3"/>
    <col min="10265" max="10265" width="17.5703125" style="3" customWidth="1"/>
    <col min="10266" max="10266" width="9.140625" style="3"/>
    <col min="10267" max="10267" width="12.7109375" style="3" customWidth="1"/>
    <col min="10268" max="10496" width="9.140625" style="3"/>
    <col min="10497" max="10497" width="4.28515625" style="3" customWidth="1"/>
    <col min="10498" max="10498" width="5.5703125" style="3" customWidth="1"/>
    <col min="10499" max="10499" width="44.28515625" style="3" customWidth="1"/>
    <col min="10500" max="10500" width="10.42578125" style="3" customWidth="1"/>
    <col min="10501" max="10502" width="9.42578125" style="3" customWidth="1"/>
    <col min="10503" max="10504" width="9" style="3" customWidth="1"/>
    <col min="10505" max="10506" width="10.85546875" style="3" customWidth="1"/>
    <col min="10507" max="10507" width="8.28515625" style="3" customWidth="1"/>
    <col min="10508" max="10519" width="0" style="3" hidden="1" customWidth="1"/>
    <col min="10520" max="10520" width="9.140625" style="3"/>
    <col min="10521" max="10521" width="17.5703125" style="3" customWidth="1"/>
    <col min="10522" max="10522" width="9.140625" style="3"/>
    <col min="10523" max="10523" width="12.7109375" style="3" customWidth="1"/>
    <col min="10524" max="10752" width="9.140625" style="3"/>
    <col min="10753" max="10753" width="4.28515625" style="3" customWidth="1"/>
    <col min="10754" max="10754" width="5.5703125" style="3" customWidth="1"/>
    <col min="10755" max="10755" width="44.28515625" style="3" customWidth="1"/>
    <col min="10756" max="10756" width="10.42578125" style="3" customWidth="1"/>
    <col min="10757" max="10758" width="9.42578125" style="3" customWidth="1"/>
    <col min="10759" max="10760" width="9" style="3" customWidth="1"/>
    <col min="10761" max="10762" width="10.85546875" style="3" customWidth="1"/>
    <col min="10763" max="10763" width="8.28515625" style="3" customWidth="1"/>
    <col min="10764" max="10775" width="0" style="3" hidden="1" customWidth="1"/>
    <col min="10776" max="10776" width="9.140625" style="3"/>
    <col min="10777" max="10777" width="17.5703125" style="3" customWidth="1"/>
    <col min="10778" max="10778" width="9.140625" style="3"/>
    <col min="10779" max="10779" width="12.7109375" style="3" customWidth="1"/>
    <col min="10780" max="11008" width="9.140625" style="3"/>
    <col min="11009" max="11009" width="4.28515625" style="3" customWidth="1"/>
    <col min="11010" max="11010" width="5.5703125" style="3" customWidth="1"/>
    <col min="11011" max="11011" width="44.28515625" style="3" customWidth="1"/>
    <col min="11012" max="11012" width="10.42578125" style="3" customWidth="1"/>
    <col min="11013" max="11014" width="9.42578125" style="3" customWidth="1"/>
    <col min="11015" max="11016" width="9" style="3" customWidth="1"/>
    <col min="11017" max="11018" width="10.85546875" style="3" customWidth="1"/>
    <col min="11019" max="11019" width="8.28515625" style="3" customWidth="1"/>
    <col min="11020" max="11031" width="0" style="3" hidden="1" customWidth="1"/>
    <col min="11032" max="11032" width="9.140625" style="3"/>
    <col min="11033" max="11033" width="17.5703125" style="3" customWidth="1"/>
    <col min="11034" max="11034" width="9.140625" style="3"/>
    <col min="11035" max="11035" width="12.7109375" style="3" customWidth="1"/>
    <col min="11036" max="11264" width="9.140625" style="3"/>
    <col min="11265" max="11265" width="4.28515625" style="3" customWidth="1"/>
    <col min="11266" max="11266" width="5.5703125" style="3" customWidth="1"/>
    <col min="11267" max="11267" width="44.28515625" style="3" customWidth="1"/>
    <col min="11268" max="11268" width="10.42578125" style="3" customWidth="1"/>
    <col min="11269" max="11270" width="9.42578125" style="3" customWidth="1"/>
    <col min="11271" max="11272" width="9" style="3" customWidth="1"/>
    <col min="11273" max="11274" width="10.85546875" style="3" customWidth="1"/>
    <col min="11275" max="11275" width="8.28515625" style="3" customWidth="1"/>
    <col min="11276" max="11287" width="0" style="3" hidden="1" customWidth="1"/>
    <col min="11288" max="11288" width="9.140625" style="3"/>
    <col min="11289" max="11289" width="17.5703125" style="3" customWidth="1"/>
    <col min="11290" max="11290" width="9.140625" style="3"/>
    <col min="11291" max="11291" width="12.7109375" style="3" customWidth="1"/>
    <col min="11292" max="11520" width="9.140625" style="3"/>
    <col min="11521" max="11521" width="4.28515625" style="3" customWidth="1"/>
    <col min="11522" max="11522" width="5.5703125" style="3" customWidth="1"/>
    <col min="11523" max="11523" width="44.28515625" style="3" customWidth="1"/>
    <col min="11524" max="11524" width="10.42578125" style="3" customWidth="1"/>
    <col min="11525" max="11526" width="9.42578125" style="3" customWidth="1"/>
    <col min="11527" max="11528" width="9" style="3" customWidth="1"/>
    <col min="11529" max="11530" width="10.85546875" style="3" customWidth="1"/>
    <col min="11531" max="11531" width="8.28515625" style="3" customWidth="1"/>
    <col min="11532" max="11543" width="0" style="3" hidden="1" customWidth="1"/>
    <col min="11544" max="11544" width="9.140625" style="3"/>
    <col min="11545" max="11545" width="17.5703125" style="3" customWidth="1"/>
    <col min="11546" max="11546" width="9.140625" style="3"/>
    <col min="11547" max="11547" width="12.7109375" style="3" customWidth="1"/>
    <col min="11548" max="11776" width="9.140625" style="3"/>
    <col min="11777" max="11777" width="4.28515625" style="3" customWidth="1"/>
    <col min="11778" max="11778" width="5.5703125" style="3" customWidth="1"/>
    <col min="11779" max="11779" width="44.28515625" style="3" customWidth="1"/>
    <col min="11780" max="11780" width="10.42578125" style="3" customWidth="1"/>
    <col min="11781" max="11782" width="9.42578125" style="3" customWidth="1"/>
    <col min="11783" max="11784" width="9" style="3" customWidth="1"/>
    <col min="11785" max="11786" width="10.85546875" style="3" customWidth="1"/>
    <col min="11787" max="11787" width="8.28515625" style="3" customWidth="1"/>
    <col min="11788" max="11799" width="0" style="3" hidden="1" customWidth="1"/>
    <col min="11800" max="11800" width="9.140625" style="3"/>
    <col min="11801" max="11801" width="17.5703125" style="3" customWidth="1"/>
    <col min="11802" max="11802" width="9.140625" style="3"/>
    <col min="11803" max="11803" width="12.7109375" style="3" customWidth="1"/>
    <col min="11804" max="12032" width="9.140625" style="3"/>
    <col min="12033" max="12033" width="4.28515625" style="3" customWidth="1"/>
    <col min="12034" max="12034" width="5.5703125" style="3" customWidth="1"/>
    <col min="12035" max="12035" width="44.28515625" style="3" customWidth="1"/>
    <col min="12036" max="12036" width="10.42578125" style="3" customWidth="1"/>
    <col min="12037" max="12038" width="9.42578125" style="3" customWidth="1"/>
    <col min="12039" max="12040" width="9" style="3" customWidth="1"/>
    <col min="12041" max="12042" width="10.85546875" style="3" customWidth="1"/>
    <col min="12043" max="12043" width="8.28515625" style="3" customWidth="1"/>
    <col min="12044" max="12055" width="0" style="3" hidden="1" customWidth="1"/>
    <col min="12056" max="12056" width="9.140625" style="3"/>
    <col min="12057" max="12057" width="17.5703125" style="3" customWidth="1"/>
    <col min="12058" max="12058" width="9.140625" style="3"/>
    <col min="12059" max="12059" width="12.7109375" style="3" customWidth="1"/>
    <col min="12060" max="12288" width="9.140625" style="3"/>
    <col min="12289" max="12289" width="4.28515625" style="3" customWidth="1"/>
    <col min="12290" max="12290" width="5.5703125" style="3" customWidth="1"/>
    <col min="12291" max="12291" width="44.28515625" style="3" customWidth="1"/>
    <col min="12292" max="12292" width="10.42578125" style="3" customWidth="1"/>
    <col min="12293" max="12294" width="9.42578125" style="3" customWidth="1"/>
    <col min="12295" max="12296" width="9" style="3" customWidth="1"/>
    <col min="12297" max="12298" width="10.85546875" style="3" customWidth="1"/>
    <col min="12299" max="12299" width="8.28515625" style="3" customWidth="1"/>
    <col min="12300" max="12311" width="0" style="3" hidden="1" customWidth="1"/>
    <col min="12312" max="12312" width="9.140625" style="3"/>
    <col min="12313" max="12313" width="17.5703125" style="3" customWidth="1"/>
    <col min="12314" max="12314" width="9.140625" style="3"/>
    <col min="12315" max="12315" width="12.7109375" style="3" customWidth="1"/>
    <col min="12316" max="12544" width="9.140625" style="3"/>
    <col min="12545" max="12545" width="4.28515625" style="3" customWidth="1"/>
    <col min="12546" max="12546" width="5.5703125" style="3" customWidth="1"/>
    <col min="12547" max="12547" width="44.28515625" style="3" customWidth="1"/>
    <col min="12548" max="12548" width="10.42578125" style="3" customWidth="1"/>
    <col min="12549" max="12550" width="9.42578125" style="3" customWidth="1"/>
    <col min="12551" max="12552" width="9" style="3" customWidth="1"/>
    <col min="12553" max="12554" width="10.85546875" style="3" customWidth="1"/>
    <col min="12555" max="12555" width="8.28515625" style="3" customWidth="1"/>
    <col min="12556" max="12567" width="0" style="3" hidden="1" customWidth="1"/>
    <col min="12568" max="12568" width="9.140625" style="3"/>
    <col min="12569" max="12569" width="17.5703125" style="3" customWidth="1"/>
    <col min="12570" max="12570" width="9.140625" style="3"/>
    <col min="12571" max="12571" width="12.7109375" style="3" customWidth="1"/>
    <col min="12572" max="12800" width="9.140625" style="3"/>
    <col min="12801" max="12801" width="4.28515625" style="3" customWidth="1"/>
    <col min="12802" max="12802" width="5.5703125" style="3" customWidth="1"/>
    <col min="12803" max="12803" width="44.28515625" style="3" customWidth="1"/>
    <col min="12804" max="12804" width="10.42578125" style="3" customWidth="1"/>
    <col min="12805" max="12806" width="9.42578125" style="3" customWidth="1"/>
    <col min="12807" max="12808" width="9" style="3" customWidth="1"/>
    <col min="12809" max="12810" width="10.85546875" style="3" customWidth="1"/>
    <col min="12811" max="12811" width="8.28515625" style="3" customWidth="1"/>
    <col min="12812" max="12823" width="0" style="3" hidden="1" customWidth="1"/>
    <col min="12824" max="12824" width="9.140625" style="3"/>
    <col min="12825" max="12825" width="17.5703125" style="3" customWidth="1"/>
    <col min="12826" max="12826" width="9.140625" style="3"/>
    <col min="12827" max="12827" width="12.7109375" style="3" customWidth="1"/>
    <col min="12828" max="13056" width="9.140625" style="3"/>
    <col min="13057" max="13057" width="4.28515625" style="3" customWidth="1"/>
    <col min="13058" max="13058" width="5.5703125" style="3" customWidth="1"/>
    <col min="13059" max="13059" width="44.28515625" style="3" customWidth="1"/>
    <col min="13060" max="13060" width="10.42578125" style="3" customWidth="1"/>
    <col min="13061" max="13062" width="9.42578125" style="3" customWidth="1"/>
    <col min="13063" max="13064" width="9" style="3" customWidth="1"/>
    <col min="13065" max="13066" width="10.85546875" style="3" customWidth="1"/>
    <col min="13067" max="13067" width="8.28515625" style="3" customWidth="1"/>
    <col min="13068" max="13079" width="0" style="3" hidden="1" customWidth="1"/>
    <col min="13080" max="13080" width="9.140625" style="3"/>
    <col min="13081" max="13081" width="17.5703125" style="3" customWidth="1"/>
    <col min="13082" max="13082" width="9.140625" style="3"/>
    <col min="13083" max="13083" width="12.7109375" style="3" customWidth="1"/>
    <col min="13084" max="13312" width="9.140625" style="3"/>
    <col min="13313" max="13313" width="4.28515625" style="3" customWidth="1"/>
    <col min="13314" max="13314" width="5.5703125" style="3" customWidth="1"/>
    <col min="13315" max="13315" width="44.28515625" style="3" customWidth="1"/>
    <col min="13316" max="13316" width="10.42578125" style="3" customWidth="1"/>
    <col min="13317" max="13318" width="9.42578125" style="3" customWidth="1"/>
    <col min="13319" max="13320" width="9" style="3" customWidth="1"/>
    <col min="13321" max="13322" width="10.85546875" style="3" customWidth="1"/>
    <col min="13323" max="13323" width="8.28515625" style="3" customWidth="1"/>
    <col min="13324" max="13335" width="0" style="3" hidden="1" customWidth="1"/>
    <col min="13336" max="13336" width="9.140625" style="3"/>
    <col min="13337" max="13337" width="17.5703125" style="3" customWidth="1"/>
    <col min="13338" max="13338" width="9.140625" style="3"/>
    <col min="13339" max="13339" width="12.7109375" style="3" customWidth="1"/>
    <col min="13340" max="13568" width="9.140625" style="3"/>
    <col min="13569" max="13569" width="4.28515625" style="3" customWidth="1"/>
    <col min="13570" max="13570" width="5.5703125" style="3" customWidth="1"/>
    <col min="13571" max="13571" width="44.28515625" style="3" customWidth="1"/>
    <col min="13572" max="13572" width="10.42578125" style="3" customWidth="1"/>
    <col min="13573" max="13574" width="9.42578125" style="3" customWidth="1"/>
    <col min="13575" max="13576" width="9" style="3" customWidth="1"/>
    <col min="13577" max="13578" width="10.85546875" style="3" customWidth="1"/>
    <col min="13579" max="13579" width="8.28515625" style="3" customWidth="1"/>
    <col min="13580" max="13591" width="0" style="3" hidden="1" customWidth="1"/>
    <col min="13592" max="13592" width="9.140625" style="3"/>
    <col min="13593" max="13593" width="17.5703125" style="3" customWidth="1"/>
    <col min="13594" max="13594" width="9.140625" style="3"/>
    <col min="13595" max="13595" width="12.7109375" style="3" customWidth="1"/>
    <col min="13596" max="13824" width="9.140625" style="3"/>
    <col min="13825" max="13825" width="4.28515625" style="3" customWidth="1"/>
    <col min="13826" max="13826" width="5.5703125" style="3" customWidth="1"/>
    <col min="13827" max="13827" width="44.28515625" style="3" customWidth="1"/>
    <col min="13828" max="13828" width="10.42578125" style="3" customWidth="1"/>
    <col min="13829" max="13830" width="9.42578125" style="3" customWidth="1"/>
    <col min="13831" max="13832" width="9" style="3" customWidth="1"/>
    <col min="13833" max="13834" width="10.85546875" style="3" customWidth="1"/>
    <col min="13835" max="13835" width="8.28515625" style="3" customWidth="1"/>
    <col min="13836" max="13847" width="0" style="3" hidden="1" customWidth="1"/>
    <col min="13848" max="13848" width="9.140625" style="3"/>
    <col min="13849" max="13849" width="17.5703125" style="3" customWidth="1"/>
    <col min="13850" max="13850" width="9.140625" style="3"/>
    <col min="13851" max="13851" width="12.7109375" style="3" customWidth="1"/>
    <col min="13852" max="14080" width="9.140625" style="3"/>
    <col min="14081" max="14081" width="4.28515625" style="3" customWidth="1"/>
    <col min="14082" max="14082" width="5.5703125" style="3" customWidth="1"/>
    <col min="14083" max="14083" width="44.28515625" style="3" customWidth="1"/>
    <col min="14084" max="14084" width="10.42578125" style="3" customWidth="1"/>
    <col min="14085" max="14086" width="9.42578125" style="3" customWidth="1"/>
    <col min="14087" max="14088" width="9" style="3" customWidth="1"/>
    <col min="14089" max="14090" width="10.85546875" style="3" customWidth="1"/>
    <col min="14091" max="14091" width="8.28515625" style="3" customWidth="1"/>
    <col min="14092" max="14103" width="0" style="3" hidden="1" customWidth="1"/>
    <col min="14104" max="14104" width="9.140625" style="3"/>
    <col min="14105" max="14105" width="17.5703125" style="3" customWidth="1"/>
    <col min="14106" max="14106" width="9.140625" style="3"/>
    <col min="14107" max="14107" width="12.7109375" style="3" customWidth="1"/>
    <col min="14108" max="14336" width="9.140625" style="3"/>
    <col min="14337" max="14337" width="4.28515625" style="3" customWidth="1"/>
    <col min="14338" max="14338" width="5.5703125" style="3" customWidth="1"/>
    <col min="14339" max="14339" width="44.28515625" style="3" customWidth="1"/>
    <col min="14340" max="14340" width="10.42578125" style="3" customWidth="1"/>
    <col min="14341" max="14342" width="9.42578125" style="3" customWidth="1"/>
    <col min="14343" max="14344" width="9" style="3" customWidth="1"/>
    <col min="14345" max="14346" width="10.85546875" style="3" customWidth="1"/>
    <col min="14347" max="14347" width="8.28515625" style="3" customWidth="1"/>
    <col min="14348" max="14359" width="0" style="3" hidden="1" customWidth="1"/>
    <col min="14360" max="14360" width="9.140625" style="3"/>
    <col min="14361" max="14361" width="17.5703125" style="3" customWidth="1"/>
    <col min="14362" max="14362" width="9.140625" style="3"/>
    <col min="14363" max="14363" width="12.7109375" style="3" customWidth="1"/>
    <col min="14364" max="14592" width="9.140625" style="3"/>
    <col min="14593" max="14593" width="4.28515625" style="3" customWidth="1"/>
    <col min="14594" max="14594" width="5.5703125" style="3" customWidth="1"/>
    <col min="14595" max="14595" width="44.28515625" style="3" customWidth="1"/>
    <col min="14596" max="14596" width="10.42578125" style="3" customWidth="1"/>
    <col min="14597" max="14598" width="9.42578125" style="3" customWidth="1"/>
    <col min="14599" max="14600" width="9" style="3" customWidth="1"/>
    <col min="14601" max="14602" width="10.85546875" style="3" customWidth="1"/>
    <col min="14603" max="14603" width="8.28515625" style="3" customWidth="1"/>
    <col min="14604" max="14615" width="0" style="3" hidden="1" customWidth="1"/>
    <col min="14616" max="14616" width="9.140625" style="3"/>
    <col min="14617" max="14617" width="17.5703125" style="3" customWidth="1"/>
    <col min="14618" max="14618" width="9.140625" style="3"/>
    <col min="14619" max="14619" width="12.7109375" style="3" customWidth="1"/>
    <col min="14620" max="14848" width="9.140625" style="3"/>
    <col min="14849" max="14849" width="4.28515625" style="3" customWidth="1"/>
    <col min="14850" max="14850" width="5.5703125" style="3" customWidth="1"/>
    <col min="14851" max="14851" width="44.28515625" style="3" customWidth="1"/>
    <col min="14852" max="14852" width="10.42578125" style="3" customWidth="1"/>
    <col min="14853" max="14854" width="9.42578125" style="3" customWidth="1"/>
    <col min="14855" max="14856" width="9" style="3" customWidth="1"/>
    <col min="14857" max="14858" width="10.85546875" style="3" customWidth="1"/>
    <col min="14859" max="14859" width="8.28515625" style="3" customWidth="1"/>
    <col min="14860" max="14871" width="0" style="3" hidden="1" customWidth="1"/>
    <col min="14872" max="14872" width="9.140625" style="3"/>
    <col min="14873" max="14873" width="17.5703125" style="3" customWidth="1"/>
    <col min="14874" max="14874" width="9.140625" style="3"/>
    <col min="14875" max="14875" width="12.7109375" style="3" customWidth="1"/>
    <col min="14876" max="15104" width="9.140625" style="3"/>
    <col min="15105" max="15105" width="4.28515625" style="3" customWidth="1"/>
    <col min="15106" max="15106" width="5.5703125" style="3" customWidth="1"/>
    <col min="15107" max="15107" width="44.28515625" style="3" customWidth="1"/>
    <col min="15108" max="15108" width="10.42578125" style="3" customWidth="1"/>
    <col min="15109" max="15110" width="9.42578125" style="3" customWidth="1"/>
    <col min="15111" max="15112" width="9" style="3" customWidth="1"/>
    <col min="15113" max="15114" width="10.85546875" style="3" customWidth="1"/>
    <col min="15115" max="15115" width="8.28515625" style="3" customWidth="1"/>
    <col min="15116" max="15127" width="0" style="3" hidden="1" customWidth="1"/>
    <col min="15128" max="15128" width="9.140625" style="3"/>
    <col min="15129" max="15129" width="17.5703125" style="3" customWidth="1"/>
    <col min="15130" max="15130" width="9.140625" style="3"/>
    <col min="15131" max="15131" width="12.7109375" style="3" customWidth="1"/>
    <col min="15132" max="15360" width="9.140625" style="3"/>
    <col min="15361" max="15361" width="4.28515625" style="3" customWidth="1"/>
    <col min="15362" max="15362" width="5.5703125" style="3" customWidth="1"/>
    <col min="15363" max="15363" width="44.28515625" style="3" customWidth="1"/>
    <col min="15364" max="15364" width="10.42578125" style="3" customWidth="1"/>
    <col min="15365" max="15366" width="9.42578125" style="3" customWidth="1"/>
    <col min="15367" max="15368" width="9" style="3" customWidth="1"/>
    <col min="15369" max="15370" width="10.85546875" style="3" customWidth="1"/>
    <col min="15371" max="15371" width="8.28515625" style="3" customWidth="1"/>
    <col min="15372" max="15383" width="0" style="3" hidden="1" customWidth="1"/>
    <col min="15384" max="15384" width="9.140625" style="3"/>
    <col min="15385" max="15385" width="17.5703125" style="3" customWidth="1"/>
    <col min="15386" max="15386" width="9.140625" style="3"/>
    <col min="15387" max="15387" width="12.7109375" style="3" customWidth="1"/>
    <col min="15388" max="15616" width="9.140625" style="3"/>
    <col min="15617" max="15617" width="4.28515625" style="3" customWidth="1"/>
    <col min="15618" max="15618" width="5.5703125" style="3" customWidth="1"/>
    <col min="15619" max="15619" width="44.28515625" style="3" customWidth="1"/>
    <col min="15620" max="15620" width="10.42578125" style="3" customWidth="1"/>
    <col min="15621" max="15622" width="9.42578125" style="3" customWidth="1"/>
    <col min="15623" max="15624" width="9" style="3" customWidth="1"/>
    <col min="15625" max="15626" width="10.85546875" style="3" customWidth="1"/>
    <col min="15627" max="15627" width="8.28515625" style="3" customWidth="1"/>
    <col min="15628" max="15639" width="0" style="3" hidden="1" customWidth="1"/>
    <col min="15640" max="15640" width="9.140625" style="3"/>
    <col min="15641" max="15641" width="17.5703125" style="3" customWidth="1"/>
    <col min="15642" max="15642" width="9.140625" style="3"/>
    <col min="15643" max="15643" width="12.7109375" style="3" customWidth="1"/>
    <col min="15644" max="15872" width="9.140625" style="3"/>
    <col min="15873" max="15873" width="4.28515625" style="3" customWidth="1"/>
    <col min="15874" max="15874" width="5.5703125" style="3" customWidth="1"/>
    <col min="15875" max="15875" width="44.28515625" style="3" customWidth="1"/>
    <col min="15876" max="15876" width="10.42578125" style="3" customWidth="1"/>
    <col min="15877" max="15878" width="9.42578125" style="3" customWidth="1"/>
    <col min="15879" max="15880" width="9" style="3" customWidth="1"/>
    <col min="15881" max="15882" width="10.85546875" style="3" customWidth="1"/>
    <col min="15883" max="15883" width="8.28515625" style="3" customWidth="1"/>
    <col min="15884" max="15895" width="0" style="3" hidden="1" customWidth="1"/>
    <col min="15896" max="15896" width="9.140625" style="3"/>
    <col min="15897" max="15897" width="17.5703125" style="3" customWidth="1"/>
    <col min="15898" max="15898" width="9.140625" style="3"/>
    <col min="15899" max="15899" width="12.7109375" style="3" customWidth="1"/>
    <col min="15900" max="16128" width="9.140625" style="3"/>
    <col min="16129" max="16129" width="4.28515625" style="3" customWidth="1"/>
    <col min="16130" max="16130" width="5.5703125" style="3" customWidth="1"/>
    <col min="16131" max="16131" width="44.28515625" style="3" customWidth="1"/>
    <col min="16132" max="16132" width="10.42578125" style="3" customWidth="1"/>
    <col min="16133" max="16134" width="9.42578125" style="3" customWidth="1"/>
    <col min="16135" max="16136" width="9" style="3" customWidth="1"/>
    <col min="16137" max="16138" width="10.85546875" style="3" customWidth="1"/>
    <col min="16139" max="16139" width="8.28515625" style="3" customWidth="1"/>
    <col min="16140" max="16151" width="0" style="3" hidden="1" customWidth="1"/>
    <col min="16152" max="16152" width="9.140625" style="3"/>
    <col min="16153" max="16153" width="17.5703125" style="3" customWidth="1"/>
    <col min="16154" max="16154" width="9.140625" style="3"/>
    <col min="16155" max="16155" width="12.7109375" style="3" customWidth="1"/>
    <col min="16156" max="16384" width="9.140625" style="3"/>
  </cols>
  <sheetData>
    <row r="1" spans="1:24" ht="15.75" customHeight="1" x14ac:dyDescent="0.2">
      <c r="C1" s="239" t="s">
        <v>753</v>
      </c>
      <c r="D1" s="239"/>
      <c r="E1" s="239"/>
      <c r="F1" s="239"/>
      <c r="G1" s="239"/>
      <c r="H1" s="239"/>
      <c r="I1" s="239"/>
      <c r="J1" s="239"/>
      <c r="K1" s="239"/>
      <c r="L1" s="239"/>
      <c r="M1" s="239"/>
      <c r="N1" s="239"/>
      <c r="O1" s="239"/>
      <c r="P1" s="239"/>
      <c r="Q1" s="239"/>
      <c r="R1" s="239"/>
      <c r="S1" s="239"/>
      <c r="T1" s="239"/>
      <c r="U1" s="239"/>
      <c r="V1" s="239"/>
      <c r="W1" s="239"/>
      <c r="X1" s="239"/>
    </row>
    <row r="2" spans="1:24" x14ac:dyDescent="0.2">
      <c r="C2" s="239" t="s">
        <v>759</v>
      </c>
      <c r="D2" s="239"/>
      <c r="E2" s="239"/>
      <c r="F2" s="239"/>
      <c r="G2" s="239"/>
      <c r="H2" s="239"/>
      <c r="I2" s="239"/>
      <c r="J2" s="239"/>
      <c r="K2" s="239"/>
      <c r="L2" s="239"/>
      <c r="M2" s="239"/>
      <c r="N2" s="239"/>
      <c r="O2" s="239"/>
      <c r="P2" s="239"/>
      <c r="Q2" s="239"/>
      <c r="R2" s="239"/>
      <c r="S2" s="239"/>
      <c r="T2" s="239"/>
      <c r="U2" s="239"/>
      <c r="V2" s="239"/>
      <c r="W2" s="239"/>
      <c r="X2" s="239"/>
    </row>
    <row r="3" spans="1:24" hidden="1" x14ac:dyDescent="0.2">
      <c r="C3" s="239" t="s">
        <v>0</v>
      </c>
      <c r="D3" s="239"/>
      <c r="E3" s="239"/>
      <c r="F3" s="239"/>
      <c r="G3" s="239"/>
      <c r="H3" s="239"/>
      <c r="I3" s="239"/>
      <c r="J3" s="239"/>
      <c r="K3" s="239"/>
    </row>
    <row r="4" spans="1:24" ht="14.25" customHeight="1" x14ac:dyDescent="0.2">
      <c r="B4" s="5"/>
      <c r="E4" s="259" t="s">
        <v>747</v>
      </c>
      <c r="F4" s="259"/>
      <c r="G4" s="259"/>
      <c r="H4" s="259"/>
      <c r="I4" s="259"/>
      <c r="J4" s="259"/>
      <c r="K4" s="259"/>
      <c r="L4" s="259"/>
      <c r="M4" s="259"/>
      <c r="N4" s="259"/>
      <c r="O4" s="259"/>
      <c r="P4" s="259"/>
      <c r="Q4" s="259"/>
      <c r="R4" s="259"/>
      <c r="S4" s="259"/>
      <c r="T4" s="259"/>
      <c r="U4" s="259"/>
      <c r="V4" s="259"/>
      <c r="W4" s="259"/>
      <c r="X4" s="259"/>
    </row>
    <row r="5" spans="1:24" ht="15.75" x14ac:dyDescent="0.2">
      <c r="B5" s="5"/>
      <c r="E5" s="6"/>
      <c r="F5" s="6"/>
      <c r="G5" s="6"/>
      <c r="H5" s="6"/>
      <c r="I5" s="6"/>
      <c r="J5" s="6"/>
      <c r="K5" s="6"/>
    </row>
    <row r="6" spans="1:24" ht="19.149999999999999" customHeight="1" x14ac:dyDescent="0.2">
      <c r="A6" s="257" t="s">
        <v>2</v>
      </c>
      <c r="B6" s="257"/>
      <c r="C6" s="257"/>
      <c r="D6" s="257"/>
      <c r="E6" s="257"/>
      <c r="F6" s="257"/>
      <c r="G6" s="257"/>
      <c r="H6" s="257"/>
      <c r="I6" s="257"/>
      <c r="J6" s="257"/>
      <c r="K6" s="257"/>
    </row>
    <row r="7" spans="1:24" x14ac:dyDescent="0.2">
      <c r="B7" s="5"/>
      <c r="E7" s="1"/>
      <c r="G7" s="1"/>
      <c r="H7" s="1"/>
      <c r="I7" s="258" t="s">
        <v>3</v>
      </c>
      <c r="J7" s="258"/>
      <c r="K7" s="258"/>
      <c r="L7" s="258"/>
      <c r="M7" s="258"/>
      <c r="N7" s="258"/>
      <c r="O7" s="258"/>
      <c r="P7" s="258"/>
      <c r="Q7" s="258"/>
      <c r="R7" s="258"/>
      <c r="S7" s="258"/>
      <c r="T7" s="258"/>
      <c r="U7" s="258"/>
      <c r="V7" s="258"/>
      <c r="W7" s="258"/>
      <c r="X7" s="258"/>
    </row>
    <row r="8" spans="1:24" ht="12.75" customHeight="1" x14ac:dyDescent="0.2">
      <c r="A8" s="242" t="s">
        <v>4</v>
      </c>
      <c r="B8" s="265" t="s">
        <v>5</v>
      </c>
      <c r="C8" s="242" t="s">
        <v>6</v>
      </c>
      <c r="D8" s="268" t="s">
        <v>7</v>
      </c>
      <c r="E8" s="246" t="s">
        <v>8</v>
      </c>
      <c r="F8" s="247"/>
      <c r="G8" s="250" t="s">
        <v>9</v>
      </c>
      <c r="H8" s="251"/>
      <c r="I8" s="251"/>
      <c r="J8" s="251"/>
      <c r="K8" s="251"/>
      <c r="L8" s="251"/>
      <c r="M8" s="251"/>
      <c r="N8" s="251"/>
      <c r="O8" s="251"/>
      <c r="P8" s="251"/>
      <c r="Q8" s="251"/>
      <c r="R8" s="251"/>
      <c r="S8" s="251"/>
      <c r="T8" s="251"/>
      <c r="U8" s="251"/>
      <c r="V8" s="251"/>
      <c r="W8" s="251"/>
      <c r="X8" s="252"/>
    </row>
    <row r="9" spans="1:24" ht="18" customHeight="1" x14ac:dyDescent="0.2">
      <c r="A9" s="264"/>
      <c r="B9" s="266"/>
      <c r="C9" s="264"/>
      <c r="D9" s="269"/>
      <c r="E9" s="248"/>
      <c r="F9" s="249"/>
      <c r="G9" s="253" t="s">
        <v>10</v>
      </c>
      <c r="H9" s="254"/>
      <c r="I9" s="254"/>
      <c r="J9" s="255"/>
      <c r="K9" s="246" t="s">
        <v>11</v>
      </c>
      <c r="L9" s="256"/>
      <c r="M9" s="256"/>
      <c r="N9" s="256"/>
      <c r="O9" s="256"/>
      <c r="P9" s="256"/>
      <c r="Q9" s="256"/>
      <c r="R9" s="256"/>
      <c r="S9" s="256"/>
      <c r="T9" s="256"/>
      <c r="U9" s="256"/>
      <c r="V9" s="256"/>
      <c r="W9" s="256"/>
      <c r="X9" s="247"/>
    </row>
    <row r="10" spans="1:24" ht="17.45" customHeight="1" x14ac:dyDescent="0.2">
      <c r="A10" s="264"/>
      <c r="B10" s="266"/>
      <c r="C10" s="264"/>
      <c r="D10" s="269"/>
      <c r="E10" s="242" t="s">
        <v>12</v>
      </c>
      <c r="F10" s="242" t="s">
        <v>13</v>
      </c>
      <c r="G10" s="240" t="s">
        <v>8</v>
      </c>
      <c r="H10" s="241"/>
      <c r="I10" s="240" t="s">
        <v>14</v>
      </c>
      <c r="J10" s="241"/>
      <c r="K10" s="242" t="s">
        <v>12</v>
      </c>
      <c r="P10" s="7"/>
      <c r="X10" s="244" t="s">
        <v>13</v>
      </c>
    </row>
    <row r="11" spans="1:24" ht="17.45" customHeight="1" x14ac:dyDescent="0.2">
      <c r="A11" s="243"/>
      <c r="B11" s="267"/>
      <c r="C11" s="243"/>
      <c r="D11" s="270"/>
      <c r="E11" s="243"/>
      <c r="F11" s="243"/>
      <c r="G11" s="8" t="s">
        <v>12</v>
      </c>
      <c r="H11" s="9" t="s">
        <v>13</v>
      </c>
      <c r="I11" s="8" t="s">
        <v>12</v>
      </c>
      <c r="J11" s="9" t="s">
        <v>13</v>
      </c>
      <c r="K11" s="243"/>
      <c r="P11" s="7"/>
      <c r="X11" s="245"/>
    </row>
    <row r="12" spans="1:24" x14ac:dyDescent="0.2">
      <c r="A12" s="10">
        <v>1</v>
      </c>
      <c r="B12" s="11" t="s">
        <v>15</v>
      </c>
      <c r="C12" s="8">
        <v>3</v>
      </c>
      <c r="D12" s="12">
        <v>4</v>
      </c>
      <c r="E12" s="8">
        <v>5</v>
      </c>
      <c r="F12" s="8">
        <v>6</v>
      </c>
      <c r="G12" s="8">
        <v>7</v>
      </c>
      <c r="H12" s="8">
        <v>8</v>
      </c>
      <c r="I12" s="8">
        <v>9</v>
      </c>
      <c r="J12" s="8">
        <v>10</v>
      </c>
      <c r="K12" s="8">
        <v>11</v>
      </c>
      <c r="P12" s="7"/>
      <c r="X12" s="9">
        <v>12</v>
      </c>
    </row>
    <row r="13" spans="1:24" ht="20.100000000000001" customHeight="1" x14ac:dyDescent="0.2">
      <c r="A13" s="13">
        <v>1</v>
      </c>
      <c r="B13" s="11" t="s">
        <v>16</v>
      </c>
      <c r="C13" s="14" t="s">
        <v>17</v>
      </c>
      <c r="D13" s="12"/>
      <c r="E13" s="15">
        <f>+G13+K13</f>
        <v>10074.799999999999</v>
      </c>
      <c r="F13" s="15">
        <f>+H13+X13</f>
        <v>9994.1999999999989</v>
      </c>
      <c r="G13" s="15">
        <f>+G14+G15+G16+G17+G18+G19+G20+G21+G22+G23+G24+G25+G26+G27+G28+G29+G30+G31+G32+G33+G34+G35+G36+G37+G38+G40+G42+G44+G46+G47+G48+G49</f>
        <v>9742.7999999999993</v>
      </c>
      <c r="H13" s="15">
        <f>+H14+H15+H16+H17+H18+H19+H20+H21+H22+H23+H24+H25+H26+H27+H28+H29+H30+H31+H32+H33+H34+H35+H36+H37+H38+H40+H42+H44+H46+H47+H48+H49</f>
        <v>9722.1999999999989</v>
      </c>
      <c r="I13" s="15">
        <f>+I14+I15+I16+I17+I18+I19+I20+I21+I22+I23+I24+I25+I26+I27+I28+I29+I30+I31+I32+I33+I34+I35+I36+I37+I38+I40+I42+I44+I46+I47+I48+I49</f>
        <v>7709.0999999999985</v>
      </c>
      <c r="J13" s="15">
        <f>+J14+J15+J16+J17+J18+J19+J20+J21+J22+J23+J24+J25+J26+J27+J28+J29+J30+J31+J32+J33+J34+J35+J36+J37+J38+J40+J42+J44+J46+J47+J48+J49</f>
        <v>7697</v>
      </c>
      <c r="K13" s="15">
        <f>+K14+K15+K16+K17+K18+K19+K20+K21+K22+K23+K24+K25+K26+K27+K28+K29+K30+K31+K32+K33+K34+K35+K36+K37+K38+K40+K42+K44+K46+K47+K48+K49</f>
        <v>332.00000000000006</v>
      </c>
      <c r="L13" s="15">
        <f t="shared" ref="L13:X13" si="0">+L14+L15+L16+L17+L18+L19+L20+L21+L22+L23+L24+L25+L26+L27+L28+L29+L30+L31+L32+L33+L34+L35+L36+L37+L38+L40+L42+L44+L46+L47+L48+L49</f>
        <v>25.3</v>
      </c>
      <c r="M13" s="15">
        <f t="shared" si="0"/>
        <v>13.899999999999999</v>
      </c>
      <c r="N13" s="15">
        <f t="shared" si="0"/>
        <v>18.3</v>
      </c>
      <c r="O13" s="15">
        <f t="shared" si="0"/>
        <v>11.400000000000002</v>
      </c>
      <c r="P13" s="15">
        <f t="shared" si="0"/>
        <v>2.5</v>
      </c>
      <c r="Q13" s="15">
        <f t="shared" si="0"/>
        <v>2.5</v>
      </c>
      <c r="R13" s="15">
        <f t="shared" si="0"/>
        <v>0</v>
      </c>
      <c r="S13" s="15">
        <f t="shared" si="0"/>
        <v>0</v>
      </c>
      <c r="T13" s="15">
        <f t="shared" si="0"/>
        <v>0</v>
      </c>
      <c r="U13" s="15">
        <f t="shared" si="0"/>
        <v>-5.2</v>
      </c>
      <c r="V13" s="15">
        <f t="shared" si="0"/>
        <v>2.5</v>
      </c>
      <c r="W13" s="15">
        <f t="shared" si="0"/>
        <v>0</v>
      </c>
      <c r="X13" s="15">
        <f t="shared" si="0"/>
        <v>272</v>
      </c>
    </row>
    <row r="14" spans="1:24" ht="24.6" customHeight="1" x14ac:dyDescent="0.2">
      <c r="A14" s="13">
        <v>2</v>
      </c>
      <c r="B14" s="16"/>
      <c r="C14" s="17" t="s">
        <v>18</v>
      </c>
      <c r="D14" s="18" t="s">
        <v>19</v>
      </c>
      <c r="E14" s="19">
        <f>+G14+K14</f>
        <v>314</v>
      </c>
      <c r="F14" s="19">
        <f>+H14+X14</f>
        <v>314</v>
      </c>
      <c r="G14" s="20">
        <v>306.5</v>
      </c>
      <c r="H14" s="21">
        <v>306.5</v>
      </c>
      <c r="I14" s="20">
        <v>264.89999999999998</v>
      </c>
      <c r="J14" s="20">
        <v>264.89999999999998</v>
      </c>
      <c r="K14" s="20">
        <v>7.5</v>
      </c>
      <c r="L14" s="22">
        <f t="shared" ref="L14:L77" si="1">+M14+O14</f>
        <v>0</v>
      </c>
      <c r="M14" s="22"/>
      <c r="N14" s="22"/>
      <c r="O14" s="23"/>
      <c r="P14" s="23">
        <f t="shared" ref="P14:P77" si="2">+Q14+W14</f>
        <v>0</v>
      </c>
      <c r="Q14" s="23"/>
      <c r="X14" s="24">
        <v>7.5</v>
      </c>
    </row>
    <row r="15" spans="1:24" ht="15" customHeight="1" x14ac:dyDescent="0.2">
      <c r="A15" s="13">
        <v>3</v>
      </c>
      <c r="B15" s="16"/>
      <c r="C15" s="17" t="s">
        <v>20</v>
      </c>
      <c r="D15" s="16" t="s">
        <v>21</v>
      </c>
      <c r="E15" s="19">
        <f t="shared" ref="E15:E78" si="3">+G15+K15</f>
        <v>330.6</v>
      </c>
      <c r="F15" s="19">
        <f t="shared" ref="F15:F78" si="4">+H15+X15</f>
        <v>330.6</v>
      </c>
      <c r="G15" s="20">
        <f>327.3+3.3</f>
        <v>330.6</v>
      </c>
      <c r="H15" s="20">
        <v>330.6</v>
      </c>
      <c r="I15" s="20">
        <f>284.2+3.3</f>
        <v>287.5</v>
      </c>
      <c r="J15" s="20">
        <v>287.5</v>
      </c>
      <c r="K15" s="20"/>
      <c r="L15" s="22">
        <f t="shared" si="1"/>
        <v>0</v>
      </c>
      <c r="M15" s="22"/>
      <c r="N15" s="22"/>
      <c r="P15" s="23">
        <f t="shared" si="2"/>
        <v>0</v>
      </c>
      <c r="Q15" s="23"/>
      <c r="X15" s="24"/>
    </row>
    <row r="16" spans="1:24" ht="15" customHeight="1" x14ac:dyDescent="0.2">
      <c r="A16" s="13">
        <v>4</v>
      </c>
      <c r="B16" s="16"/>
      <c r="C16" s="17" t="s">
        <v>22</v>
      </c>
      <c r="D16" s="16" t="s">
        <v>21</v>
      </c>
      <c r="E16" s="19">
        <f t="shared" si="3"/>
        <v>301.10000000000002</v>
      </c>
      <c r="F16" s="19">
        <f t="shared" si="4"/>
        <v>301.10000000000002</v>
      </c>
      <c r="G16" s="20">
        <v>301.10000000000002</v>
      </c>
      <c r="H16" s="20">
        <v>301.10000000000002</v>
      </c>
      <c r="I16" s="20">
        <f>257.5-5.3</f>
        <v>252.2</v>
      </c>
      <c r="J16" s="20">
        <v>252.2</v>
      </c>
      <c r="K16" s="20"/>
      <c r="L16" s="22">
        <f t="shared" si="1"/>
        <v>0</v>
      </c>
      <c r="M16" s="22"/>
      <c r="N16" s="22">
        <v>-5.3</v>
      </c>
      <c r="P16" s="23">
        <f t="shared" si="2"/>
        <v>0</v>
      </c>
      <c r="Q16" s="23"/>
      <c r="X16" s="24"/>
    </row>
    <row r="17" spans="1:911" ht="15" customHeight="1" x14ac:dyDescent="0.2">
      <c r="A17" s="13">
        <v>5</v>
      </c>
      <c r="B17" s="16"/>
      <c r="C17" s="17" t="s">
        <v>23</v>
      </c>
      <c r="D17" s="16" t="s">
        <v>21</v>
      </c>
      <c r="E17" s="19">
        <f t="shared" si="3"/>
        <v>325.09999999999997</v>
      </c>
      <c r="F17" s="19">
        <f t="shared" si="4"/>
        <v>325.10000000000002</v>
      </c>
      <c r="G17" s="20">
        <f>320.3+2.4+2.4</f>
        <v>325.09999999999997</v>
      </c>
      <c r="H17" s="20">
        <v>325.10000000000002</v>
      </c>
      <c r="I17" s="20">
        <f>275.7+2.4+2.4-11</f>
        <v>269.49999999999994</v>
      </c>
      <c r="J17" s="20">
        <v>269.5</v>
      </c>
      <c r="K17" s="20"/>
      <c r="L17" s="22">
        <f t="shared" si="1"/>
        <v>0</v>
      </c>
      <c r="M17" s="22"/>
      <c r="N17" s="22">
        <v>-11</v>
      </c>
      <c r="P17" s="23">
        <f t="shared" si="2"/>
        <v>0</v>
      </c>
      <c r="Q17" s="23"/>
      <c r="X17" s="24"/>
    </row>
    <row r="18" spans="1:911" ht="15" customHeight="1" x14ac:dyDescent="0.2">
      <c r="A18" s="13">
        <v>6</v>
      </c>
      <c r="B18" s="16"/>
      <c r="C18" s="17" t="s">
        <v>24</v>
      </c>
      <c r="D18" s="16" t="s">
        <v>21</v>
      </c>
      <c r="E18" s="19">
        <f t="shared" si="3"/>
        <v>328.2</v>
      </c>
      <c r="F18" s="19">
        <f t="shared" si="4"/>
        <v>328.20000000000005</v>
      </c>
      <c r="G18" s="20">
        <f>325.7+0.5-3.6+2</f>
        <v>324.59999999999997</v>
      </c>
      <c r="H18" s="20">
        <v>324.60000000000002</v>
      </c>
      <c r="I18" s="20">
        <f>279.5+0.5-10.6+2</f>
        <v>271.39999999999998</v>
      </c>
      <c r="J18" s="20">
        <v>271.39999999999998</v>
      </c>
      <c r="K18" s="20">
        <v>3.6</v>
      </c>
      <c r="L18" s="22">
        <f t="shared" si="1"/>
        <v>2</v>
      </c>
      <c r="M18" s="22">
        <f>-3.6+2</f>
        <v>-1.6</v>
      </c>
      <c r="N18" s="22">
        <f>-10.6+2</f>
        <v>-8.6</v>
      </c>
      <c r="O18" s="3">
        <v>3.6</v>
      </c>
      <c r="P18" s="23">
        <f t="shared" si="2"/>
        <v>0</v>
      </c>
      <c r="Q18" s="23"/>
      <c r="X18" s="24">
        <v>3.6</v>
      </c>
    </row>
    <row r="19" spans="1:911" ht="15" customHeight="1" x14ac:dyDescent="0.2">
      <c r="A19" s="13">
        <v>7</v>
      </c>
      <c r="B19" s="16"/>
      <c r="C19" s="17" t="s">
        <v>25</v>
      </c>
      <c r="D19" s="16" t="s">
        <v>21</v>
      </c>
      <c r="E19" s="19">
        <f t="shared" si="3"/>
        <v>330.8</v>
      </c>
      <c r="F19" s="19">
        <f t="shared" si="4"/>
        <v>330.8</v>
      </c>
      <c r="G19" s="20">
        <f>320.8+4.7+2.9+1.8+0.6</f>
        <v>330.8</v>
      </c>
      <c r="H19" s="20">
        <v>330.8</v>
      </c>
      <c r="I19" s="20">
        <f>276+4.6+2.9+1.8+0.6</f>
        <v>285.90000000000003</v>
      </c>
      <c r="J19" s="20">
        <v>285.89999999999998</v>
      </c>
      <c r="K19" s="20"/>
      <c r="L19" s="22">
        <f t="shared" si="1"/>
        <v>0</v>
      </c>
      <c r="M19" s="22"/>
      <c r="N19" s="22"/>
      <c r="P19" s="23">
        <f t="shared" si="2"/>
        <v>0</v>
      </c>
      <c r="Q19" s="23"/>
      <c r="X19" s="24"/>
    </row>
    <row r="20" spans="1:911" ht="15" customHeight="1" x14ac:dyDescent="0.2">
      <c r="A20" s="13">
        <v>8</v>
      </c>
      <c r="B20" s="16"/>
      <c r="C20" s="17" t="s">
        <v>26</v>
      </c>
      <c r="D20" s="16" t="s">
        <v>21</v>
      </c>
      <c r="E20" s="19">
        <f t="shared" si="3"/>
        <v>336.4</v>
      </c>
      <c r="F20" s="19">
        <f t="shared" si="4"/>
        <v>336.4</v>
      </c>
      <c r="G20" s="20">
        <v>336.4</v>
      </c>
      <c r="H20" s="20">
        <v>336.4</v>
      </c>
      <c r="I20" s="20">
        <f>281.9-5</f>
        <v>276.89999999999998</v>
      </c>
      <c r="J20" s="20">
        <v>276.89999999999998</v>
      </c>
      <c r="K20" s="20"/>
      <c r="L20" s="22">
        <f t="shared" si="1"/>
        <v>0</v>
      </c>
      <c r="M20" s="22"/>
      <c r="N20" s="22">
        <v>-5</v>
      </c>
      <c r="P20" s="23">
        <f t="shared" si="2"/>
        <v>0</v>
      </c>
      <c r="Q20" s="23"/>
      <c r="X20" s="24"/>
    </row>
    <row r="21" spans="1:911" ht="15" customHeight="1" x14ac:dyDescent="0.2">
      <c r="A21" s="25">
        <v>9</v>
      </c>
      <c r="B21" s="26"/>
      <c r="C21" s="27" t="s">
        <v>27</v>
      </c>
      <c r="D21" s="26" t="s">
        <v>28</v>
      </c>
      <c r="E21" s="19">
        <f t="shared" si="3"/>
        <v>267.29999999999995</v>
      </c>
      <c r="F21" s="19">
        <f t="shared" si="4"/>
        <v>267.3</v>
      </c>
      <c r="G21" s="20">
        <f>263.9+0.4+0.7+0.5+1+0.8</f>
        <v>267.29999999999995</v>
      </c>
      <c r="H21" s="20">
        <v>267.3</v>
      </c>
      <c r="I21" s="20">
        <f>220.9+0.4+0.7+0.5+1+0.8</f>
        <v>224.3</v>
      </c>
      <c r="J21" s="20">
        <v>224.3</v>
      </c>
      <c r="K21" s="20"/>
      <c r="L21" s="22">
        <f t="shared" si="1"/>
        <v>0.8</v>
      </c>
      <c r="M21" s="22">
        <v>0.8</v>
      </c>
      <c r="N21" s="22">
        <v>0.8</v>
      </c>
      <c r="P21" s="23">
        <f t="shared" si="2"/>
        <v>0</v>
      </c>
      <c r="Q21" s="23"/>
      <c r="X21" s="24"/>
    </row>
    <row r="22" spans="1:911" ht="15" customHeight="1" x14ac:dyDescent="0.2">
      <c r="A22" s="25">
        <v>10</v>
      </c>
      <c r="B22" s="26"/>
      <c r="C22" s="17" t="s">
        <v>29</v>
      </c>
      <c r="D22" s="26" t="s">
        <v>30</v>
      </c>
      <c r="E22" s="19">
        <f t="shared" si="3"/>
        <v>285.39999999999998</v>
      </c>
      <c r="F22" s="19">
        <f t="shared" si="4"/>
        <v>285.39999999999998</v>
      </c>
      <c r="G22" s="20">
        <f>276.8+0.4+2.9+5.3</f>
        <v>285.39999999999998</v>
      </c>
      <c r="H22" s="20">
        <v>285.39999999999998</v>
      </c>
      <c r="I22" s="20">
        <f>208.6+2.9+5.3</f>
        <v>216.8</v>
      </c>
      <c r="J22" s="20">
        <v>216.8</v>
      </c>
      <c r="K22" s="20"/>
      <c r="L22" s="22">
        <f t="shared" si="1"/>
        <v>5.3</v>
      </c>
      <c r="M22" s="22">
        <v>5.3</v>
      </c>
      <c r="N22" s="22">
        <v>5.3</v>
      </c>
      <c r="P22" s="23">
        <f t="shared" si="2"/>
        <v>0</v>
      </c>
      <c r="Q22" s="23"/>
      <c r="X22" s="24"/>
    </row>
    <row r="23" spans="1:911" ht="25.9" customHeight="1" x14ac:dyDescent="0.2">
      <c r="A23" s="13">
        <v>11</v>
      </c>
      <c r="B23" s="16"/>
      <c r="C23" s="17" t="s">
        <v>31</v>
      </c>
      <c r="D23" s="18" t="s">
        <v>32</v>
      </c>
      <c r="E23" s="19">
        <f t="shared" si="3"/>
        <v>240.7</v>
      </c>
      <c r="F23" s="19">
        <f t="shared" si="4"/>
        <v>240.4</v>
      </c>
      <c r="G23" s="20">
        <f>219.4+5.6+2.2+1.4</f>
        <v>228.6</v>
      </c>
      <c r="H23" s="20">
        <v>228.3</v>
      </c>
      <c r="I23" s="20">
        <f>163.1+5.6+2.2-3.2</f>
        <v>167.7</v>
      </c>
      <c r="J23" s="20">
        <v>167.7</v>
      </c>
      <c r="K23" s="20">
        <f>13.5-1.4</f>
        <v>12.1</v>
      </c>
      <c r="L23" s="22">
        <f t="shared" si="1"/>
        <v>0</v>
      </c>
      <c r="M23" s="22">
        <v>1.4</v>
      </c>
      <c r="N23" s="22">
        <v>-3.2</v>
      </c>
      <c r="O23" s="3">
        <v>-1.4</v>
      </c>
      <c r="P23" s="23">
        <f t="shared" si="2"/>
        <v>0</v>
      </c>
      <c r="Q23" s="23"/>
      <c r="X23" s="24">
        <v>12.1</v>
      </c>
    </row>
    <row r="24" spans="1:911" ht="15" customHeight="1" x14ac:dyDescent="0.2">
      <c r="A24" s="25">
        <v>12</v>
      </c>
      <c r="B24" s="26"/>
      <c r="C24" s="27" t="s">
        <v>33</v>
      </c>
      <c r="D24" s="26" t="s">
        <v>30</v>
      </c>
      <c r="E24" s="19">
        <f t="shared" si="3"/>
        <v>583.00000000000011</v>
      </c>
      <c r="F24" s="19">
        <f t="shared" si="4"/>
        <v>582.79999999999995</v>
      </c>
      <c r="G24" s="20">
        <f>560.5+1.7+3.5+10.6+6.7</f>
        <v>583.00000000000011</v>
      </c>
      <c r="H24" s="32">
        <v>582.79999999999995</v>
      </c>
      <c r="I24" s="20">
        <f>456.4+3.5+6.6</f>
        <v>466.5</v>
      </c>
      <c r="J24" s="20">
        <v>466.5</v>
      </c>
      <c r="K24" s="20"/>
      <c r="L24" s="22">
        <f t="shared" si="1"/>
        <v>0</v>
      </c>
      <c r="M24" s="22"/>
      <c r="N24" s="22"/>
      <c r="P24" s="23">
        <f t="shared" si="2"/>
        <v>0</v>
      </c>
      <c r="Q24" s="23"/>
      <c r="X24" s="24"/>
    </row>
    <row r="25" spans="1:911" ht="15" customHeight="1" x14ac:dyDescent="0.2">
      <c r="A25" s="13">
        <v>13</v>
      </c>
      <c r="B25" s="16"/>
      <c r="C25" s="27" t="s">
        <v>34</v>
      </c>
      <c r="D25" s="16" t="s">
        <v>30</v>
      </c>
      <c r="E25" s="19">
        <f t="shared" si="3"/>
        <v>393.5</v>
      </c>
      <c r="F25" s="19">
        <f t="shared" si="4"/>
        <v>393.5</v>
      </c>
      <c r="G25" s="20">
        <f>380.3+1.9+11.3</f>
        <v>393.5</v>
      </c>
      <c r="H25" s="20">
        <v>393.5</v>
      </c>
      <c r="I25" s="20">
        <f>291.2+11.1+3</f>
        <v>305.3</v>
      </c>
      <c r="J25" s="20">
        <v>305.3</v>
      </c>
      <c r="K25" s="20"/>
      <c r="L25" s="22">
        <f t="shared" si="1"/>
        <v>0</v>
      </c>
      <c r="M25" s="22"/>
      <c r="N25" s="22">
        <v>3</v>
      </c>
      <c r="P25" s="23">
        <f t="shared" si="2"/>
        <v>0</v>
      </c>
      <c r="Q25" s="23"/>
      <c r="X25" s="24"/>
    </row>
    <row r="26" spans="1:911" ht="15" customHeight="1" x14ac:dyDescent="0.2">
      <c r="A26" s="25">
        <v>14</v>
      </c>
      <c r="B26" s="26"/>
      <c r="C26" s="27" t="s">
        <v>35</v>
      </c>
      <c r="D26" s="26" t="s">
        <v>30</v>
      </c>
      <c r="E26" s="19">
        <f t="shared" si="3"/>
        <v>578.79999999999995</v>
      </c>
      <c r="F26" s="19">
        <f t="shared" si="4"/>
        <v>578.79999999999995</v>
      </c>
      <c r="G26" s="20">
        <f>567.6+3.1+1.8+6.3</f>
        <v>578.79999999999995</v>
      </c>
      <c r="H26" s="20">
        <v>578.79999999999995</v>
      </c>
      <c r="I26" s="20">
        <f>452.1+6.2</f>
        <v>458.3</v>
      </c>
      <c r="J26" s="20">
        <v>458.3</v>
      </c>
      <c r="K26" s="20"/>
      <c r="L26" s="22">
        <f t="shared" si="1"/>
        <v>0</v>
      </c>
      <c r="M26" s="22"/>
      <c r="N26" s="22"/>
      <c r="P26" s="23">
        <f t="shared" si="2"/>
        <v>0</v>
      </c>
      <c r="Q26" s="23"/>
      <c r="X26" s="24"/>
      <c r="CF26" s="221"/>
      <c r="CG26" s="221"/>
      <c r="CH26" s="221"/>
      <c r="CI26" s="221"/>
      <c r="CJ26" s="221"/>
      <c r="CK26" s="221"/>
      <c r="CL26" s="221"/>
      <c r="CM26" s="221"/>
      <c r="CN26" s="221"/>
      <c r="CO26" s="221"/>
      <c r="CP26" s="221"/>
      <c r="CQ26" s="221"/>
      <c r="CR26" s="221"/>
      <c r="CS26" s="221"/>
      <c r="CT26" s="221"/>
    </row>
    <row r="27" spans="1:911" ht="15" customHeight="1" x14ac:dyDescent="0.2">
      <c r="A27" s="25">
        <v>15</v>
      </c>
      <c r="B27" s="26"/>
      <c r="C27" s="17" t="s">
        <v>36</v>
      </c>
      <c r="D27" s="26" t="s">
        <v>30</v>
      </c>
      <c r="E27" s="19">
        <f t="shared" si="3"/>
        <v>319.99999999999994</v>
      </c>
      <c r="F27" s="19">
        <f t="shared" si="4"/>
        <v>320</v>
      </c>
      <c r="G27" s="20">
        <f>310.2+1.6+0.9+5.9+1.4</f>
        <v>319.99999999999994</v>
      </c>
      <c r="H27" s="20">
        <v>320</v>
      </c>
      <c r="I27" s="20">
        <f>216.5+5.8+13+1.4-1</f>
        <v>235.70000000000002</v>
      </c>
      <c r="J27" s="20">
        <v>235.7</v>
      </c>
      <c r="K27" s="20"/>
      <c r="L27" s="22">
        <f t="shared" si="1"/>
        <v>1.4</v>
      </c>
      <c r="M27" s="22">
        <v>1.4</v>
      </c>
      <c r="N27" s="22">
        <f>13+1.4-1</f>
        <v>13.4</v>
      </c>
      <c r="P27" s="23">
        <f t="shared" si="2"/>
        <v>0</v>
      </c>
      <c r="Q27" s="23"/>
      <c r="X27" s="24"/>
      <c r="Y27" s="232"/>
      <c r="Z27" s="221"/>
      <c r="AA27" s="221"/>
      <c r="AB27" s="221"/>
      <c r="AC27" s="221"/>
      <c r="AD27" s="221"/>
      <c r="AE27" s="221"/>
      <c r="AF27" s="221"/>
      <c r="AG27" s="221"/>
      <c r="AH27" s="221"/>
      <c r="AI27" s="221"/>
      <c r="AJ27" s="221"/>
      <c r="AK27" s="221"/>
      <c r="AL27" s="221"/>
      <c r="AM27" s="221"/>
      <c r="AN27" s="221"/>
      <c r="AO27" s="221"/>
      <c r="AP27" s="221"/>
      <c r="AQ27" s="221"/>
      <c r="AR27" s="221"/>
      <c r="AS27" s="221"/>
      <c r="AT27" s="221"/>
      <c r="AU27" s="221"/>
      <c r="AV27" s="221"/>
      <c r="AW27" s="221"/>
      <c r="AX27" s="221"/>
      <c r="AY27" s="221"/>
      <c r="AZ27" s="221"/>
      <c r="BA27" s="221"/>
      <c r="BB27" s="221"/>
      <c r="BC27" s="221"/>
      <c r="BD27" s="221"/>
      <c r="BE27" s="221"/>
      <c r="BF27" s="221"/>
      <c r="BG27" s="221"/>
      <c r="BH27" s="221"/>
      <c r="BI27" s="221"/>
      <c r="BJ27" s="221"/>
      <c r="BK27" s="221"/>
      <c r="BL27" s="221"/>
      <c r="BM27" s="221"/>
      <c r="BN27" s="221"/>
      <c r="BO27" s="221"/>
      <c r="BP27" s="221"/>
      <c r="BQ27" s="221"/>
      <c r="BR27" s="221"/>
      <c r="BS27" s="221"/>
      <c r="BT27" s="221"/>
      <c r="BU27" s="221"/>
      <c r="BV27" s="221"/>
      <c r="BW27" s="221"/>
      <c r="BX27" s="221"/>
      <c r="BY27" s="221"/>
      <c r="BZ27" s="221"/>
      <c r="CA27" s="221"/>
      <c r="CB27" s="221"/>
      <c r="CC27" s="221"/>
      <c r="CD27" s="221"/>
      <c r="CE27" s="221"/>
      <c r="CF27" s="221"/>
      <c r="CG27" s="221"/>
      <c r="CH27" s="221"/>
      <c r="CI27" s="221"/>
      <c r="CJ27" s="221"/>
      <c r="CK27" s="221"/>
      <c r="CL27" s="221"/>
      <c r="CM27" s="221"/>
      <c r="CN27" s="221"/>
      <c r="CO27" s="221"/>
      <c r="CP27" s="221"/>
      <c r="CQ27" s="221"/>
      <c r="CR27" s="221"/>
      <c r="CS27" s="221"/>
      <c r="CT27" s="221"/>
      <c r="CU27" s="221"/>
      <c r="CV27" s="221"/>
      <c r="CW27" s="221"/>
      <c r="CX27" s="221"/>
      <c r="CY27" s="221"/>
      <c r="CZ27" s="221"/>
      <c r="DA27" s="221"/>
      <c r="DB27" s="221"/>
      <c r="DC27" s="221"/>
      <c r="DD27" s="221"/>
      <c r="DE27" s="221"/>
      <c r="DF27" s="221"/>
      <c r="DG27" s="221"/>
      <c r="DH27" s="221"/>
      <c r="DI27" s="221"/>
      <c r="DJ27" s="221"/>
      <c r="DK27" s="221"/>
      <c r="DL27" s="221"/>
      <c r="DM27" s="221"/>
      <c r="DN27" s="221"/>
      <c r="DO27" s="221"/>
      <c r="DP27" s="221"/>
      <c r="DQ27" s="221"/>
      <c r="DR27" s="221"/>
      <c r="DS27" s="221"/>
      <c r="DT27" s="221"/>
      <c r="DU27" s="221"/>
      <c r="DV27" s="221"/>
      <c r="DW27" s="221"/>
      <c r="DX27" s="221"/>
      <c r="DY27" s="221"/>
      <c r="DZ27" s="221"/>
      <c r="EA27" s="221"/>
      <c r="EB27" s="221"/>
      <c r="EC27" s="221"/>
      <c r="ED27" s="221"/>
      <c r="EE27" s="221"/>
      <c r="EF27" s="221"/>
      <c r="EG27" s="221"/>
      <c r="EH27" s="221"/>
      <c r="EI27" s="221"/>
      <c r="EJ27" s="221"/>
      <c r="EK27" s="221"/>
      <c r="EL27" s="221"/>
      <c r="EM27" s="221"/>
      <c r="EN27" s="221"/>
      <c r="EO27" s="221"/>
      <c r="EP27" s="221"/>
      <c r="EQ27" s="221"/>
      <c r="ER27" s="221"/>
      <c r="ES27" s="221"/>
      <c r="ET27" s="221"/>
      <c r="EU27" s="221"/>
      <c r="EV27" s="221"/>
      <c r="EW27" s="221"/>
      <c r="EX27" s="221"/>
      <c r="EY27" s="221"/>
      <c r="EZ27" s="221"/>
      <c r="FA27" s="221"/>
      <c r="FB27" s="221"/>
      <c r="FC27" s="221"/>
      <c r="FD27" s="221"/>
      <c r="FE27" s="221"/>
      <c r="FF27" s="221"/>
      <c r="FG27" s="221"/>
      <c r="FH27" s="221"/>
      <c r="FI27" s="221"/>
      <c r="FJ27" s="221"/>
      <c r="FK27" s="221"/>
      <c r="FL27" s="221"/>
      <c r="FM27" s="221"/>
      <c r="FN27" s="221"/>
      <c r="FO27" s="221"/>
      <c r="FP27" s="221"/>
      <c r="FQ27" s="221"/>
      <c r="FR27" s="221"/>
      <c r="FS27" s="221"/>
      <c r="FT27" s="221"/>
      <c r="FU27" s="221"/>
      <c r="FV27" s="221"/>
      <c r="FW27" s="221"/>
      <c r="FX27" s="221"/>
      <c r="FY27" s="221"/>
      <c r="FZ27" s="221"/>
      <c r="GA27" s="221"/>
      <c r="GB27" s="221"/>
      <c r="GC27" s="221"/>
      <c r="GD27" s="221"/>
      <c r="GE27" s="221"/>
      <c r="GF27" s="221"/>
      <c r="GG27" s="221"/>
      <c r="GH27" s="221"/>
      <c r="GI27" s="221"/>
      <c r="GJ27" s="221"/>
      <c r="GK27" s="221"/>
      <c r="GL27" s="221"/>
      <c r="GM27" s="221"/>
      <c r="GN27" s="221"/>
      <c r="GO27" s="221"/>
      <c r="GP27" s="221"/>
      <c r="GQ27" s="221"/>
      <c r="GR27" s="221"/>
      <c r="GS27" s="221"/>
      <c r="GT27" s="221"/>
      <c r="GU27" s="221"/>
      <c r="GV27" s="221"/>
      <c r="GW27" s="221"/>
      <c r="GX27" s="221"/>
      <c r="GY27" s="221"/>
      <c r="GZ27" s="221"/>
      <c r="HA27" s="221"/>
      <c r="HB27" s="221"/>
      <c r="HC27" s="221"/>
      <c r="HD27" s="221"/>
      <c r="HE27" s="221"/>
      <c r="HF27" s="221"/>
      <c r="HG27" s="221"/>
      <c r="HH27" s="221"/>
      <c r="HI27" s="221"/>
      <c r="HJ27" s="221"/>
      <c r="HK27" s="221"/>
      <c r="HL27" s="221"/>
      <c r="HM27" s="221"/>
      <c r="HN27" s="221"/>
      <c r="HO27" s="221"/>
      <c r="HP27" s="221"/>
      <c r="HQ27" s="221"/>
      <c r="HR27" s="221"/>
      <c r="HS27" s="221"/>
      <c r="HT27" s="221"/>
      <c r="HU27" s="221"/>
      <c r="HV27" s="221"/>
      <c r="HW27" s="221"/>
      <c r="HX27" s="221"/>
      <c r="HY27" s="221"/>
      <c r="HZ27" s="221"/>
      <c r="IA27" s="221"/>
      <c r="IB27" s="221"/>
      <c r="IC27" s="221"/>
      <c r="ID27" s="221"/>
      <c r="IE27" s="221"/>
      <c r="IF27" s="221"/>
      <c r="IG27" s="221"/>
      <c r="IH27" s="221"/>
      <c r="II27" s="221"/>
      <c r="IJ27" s="221"/>
      <c r="IK27" s="221"/>
      <c r="IL27" s="221"/>
      <c r="IM27" s="221"/>
      <c r="IN27" s="221"/>
      <c r="IO27" s="221"/>
      <c r="IP27" s="221"/>
      <c r="IQ27" s="221"/>
      <c r="IR27" s="221"/>
      <c r="IS27" s="221"/>
      <c r="IT27" s="221"/>
      <c r="IU27" s="221"/>
      <c r="IV27" s="221"/>
      <c r="IW27" s="221"/>
      <c r="IX27" s="221"/>
      <c r="IY27" s="221"/>
      <c r="IZ27" s="221"/>
      <c r="JA27" s="221"/>
      <c r="JB27" s="221"/>
      <c r="JC27" s="221"/>
      <c r="JD27" s="221"/>
      <c r="JE27" s="221"/>
      <c r="JF27" s="221"/>
      <c r="JG27" s="221"/>
      <c r="JH27" s="221"/>
      <c r="JI27" s="221"/>
      <c r="JJ27" s="221"/>
      <c r="JK27" s="221"/>
      <c r="JL27" s="221"/>
      <c r="JM27" s="221"/>
      <c r="JN27" s="221"/>
      <c r="JO27" s="221"/>
      <c r="JP27" s="221"/>
      <c r="JQ27" s="221"/>
      <c r="JR27" s="221"/>
      <c r="JS27" s="221"/>
      <c r="JT27" s="221"/>
      <c r="JU27" s="221"/>
      <c r="JV27" s="221"/>
      <c r="JW27" s="221"/>
      <c r="JX27" s="221"/>
      <c r="JY27" s="221"/>
      <c r="JZ27" s="221"/>
      <c r="KA27" s="221"/>
      <c r="KB27" s="221"/>
      <c r="KC27" s="221"/>
      <c r="KD27" s="221"/>
      <c r="KE27" s="221"/>
      <c r="KF27" s="221"/>
      <c r="KG27" s="221"/>
      <c r="KH27" s="221"/>
      <c r="KI27" s="221"/>
      <c r="KJ27" s="221"/>
      <c r="KK27" s="221"/>
      <c r="KL27" s="221"/>
      <c r="KM27" s="221"/>
      <c r="KN27" s="221"/>
      <c r="KO27" s="221"/>
      <c r="KP27" s="221"/>
      <c r="KQ27" s="221"/>
      <c r="KR27" s="221"/>
      <c r="KS27" s="221"/>
      <c r="KT27" s="221"/>
      <c r="KU27" s="221"/>
      <c r="KV27" s="221"/>
      <c r="KW27" s="221"/>
      <c r="KX27" s="221"/>
      <c r="KY27" s="221"/>
      <c r="KZ27" s="221"/>
      <c r="LA27" s="221"/>
      <c r="LB27" s="221"/>
      <c r="LC27" s="221"/>
      <c r="LD27" s="221"/>
      <c r="LE27" s="221"/>
      <c r="LF27" s="221"/>
      <c r="LG27" s="221"/>
      <c r="LH27" s="221"/>
      <c r="LI27" s="221"/>
      <c r="LJ27" s="221"/>
      <c r="LK27" s="221"/>
      <c r="LL27" s="221"/>
      <c r="LM27" s="221"/>
      <c r="LN27" s="221"/>
      <c r="LO27" s="221"/>
      <c r="LP27" s="221"/>
      <c r="LQ27" s="221"/>
      <c r="LR27" s="221"/>
      <c r="LS27" s="221"/>
      <c r="LT27" s="221"/>
      <c r="LU27" s="221"/>
      <c r="LV27" s="221"/>
      <c r="LW27" s="221"/>
      <c r="LX27" s="221"/>
      <c r="LY27" s="221"/>
      <c r="LZ27" s="221"/>
      <c r="MA27" s="221"/>
      <c r="MB27" s="221"/>
      <c r="MC27" s="221"/>
      <c r="MD27" s="221"/>
      <c r="ME27" s="221"/>
      <c r="MF27" s="221"/>
      <c r="MG27" s="221"/>
      <c r="MH27" s="221"/>
      <c r="MI27" s="221"/>
      <c r="MJ27" s="221"/>
      <c r="MK27" s="221"/>
      <c r="ML27" s="221"/>
      <c r="MM27" s="221"/>
      <c r="MN27" s="221"/>
      <c r="MO27" s="221"/>
      <c r="MP27" s="221"/>
      <c r="MQ27" s="221"/>
      <c r="MR27" s="221"/>
      <c r="MS27" s="221"/>
      <c r="MT27" s="221"/>
      <c r="MU27" s="221"/>
      <c r="MV27" s="221"/>
      <c r="MW27" s="221"/>
      <c r="MX27" s="221"/>
      <c r="MY27" s="221"/>
      <c r="MZ27" s="221"/>
      <c r="NA27" s="221"/>
      <c r="NB27" s="221"/>
      <c r="NC27" s="221"/>
      <c r="ND27" s="221"/>
      <c r="NE27" s="221"/>
      <c r="NF27" s="221"/>
      <c r="NG27" s="221"/>
      <c r="NH27" s="221"/>
      <c r="NI27" s="221"/>
      <c r="NJ27" s="221"/>
      <c r="NK27" s="221"/>
      <c r="NL27" s="221"/>
      <c r="NM27" s="221"/>
      <c r="NN27" s="221"/>
      <c r="NO27" s="221"/>
      <c r="NP27" s="221"/>
      <c r="NQ27" s="221"/>
      <c r="NR27" s="221"/>
      <c r="NS27" s="221"/>
      <c r="NT27" s="221"/>
      <c r="NU27" s="221"/>
      <c r="NV27" s="221"/>
      <c r="NW27" s="221"/>
      <c r="NX27" s="221"/>
      <c r="NY27" s="221"/>
      <c r="NZ27" s="221"/>
      <c r="OA27" s="221"/>
      <c r="OB27" s="221"/>
      <c r="OC27" s="221"/>
      <c r="OD27" s="221"/>
      <c r="OE27" s="221"/>
      <c r="OF27" s="221"/>
      <c r="OG27" s="221"/>
      <c r="OH27" s="221"/>
      <c r="OI27" s="221"/>
      <c r="OJ27" s="221"/>
      <c r="OK27" s="221"/>
      <c r="OL27" s="221"/>
      <c r="OM27" s="221"/>
      <c r="ON27" s="221"/>
      <c r="OO27" s="221"/>
      <c r="OP27" s="221"/>
      <c r="OQ27" s="221"/>
      <c r="OR27" s="221"/>
      <c r="OS27" s="221"/>
      <c r="OT27" s="221"/>
      <c r="OU27" s="221"/>
      <c r="OV27" s="221"/>
      <c r="OW27" s="221"/>
      <c r="OX27" s="221"/>
      <c r="OY27" s="221"/>
      <c r="OZ27" s="221"/>
      <c r="PA27" s="221"/>
      <c r="PB27" s="221"/>
      <c r="PC27" s="221"/>
      <c r="PD27" s="221"/>
      <c r="PE27" s="221"/>
      <c r="PF27" s="221"/>
      <c r="PG27" s="221"/>
      <c r="PH27" s="221"/>
      <c r="PI27" s="221"/>
      <c r="PJ27" s="221"/>
      <c r="PK27" s="221"/>
      <c r="PL27" s="221"/>
      <c r="PM27" s="221"/>
      <c r="PN27" s="221"/>
      <c r="PO27" s="221"/>
      <c r="PP27" s="221"/>
      <c r="PQ27" s="221"/>
      <c r="PR27" s="221"/>
      <c r="PS27" s="221"/>
      <c r="PT27" s="221"/>
      <c r="PU27" s="221"/>
      <c r="PV27" s="221"/>
      <c r="PW27" s="221"/>
      <c r="PX27" s="221"/>
      <c r="PY27" s="221"/>
      <c r="PZ27" s="221"/>
      <c r="QA27" s="221"/>
      <c r="QB27" s="221"/>
      <c r="QC27" s="221"/>
      <c r="QD27" s="221"/>
      <c r="QE27" s="221"/>
      <c r="QF27" s="221"/>
      <c r="QG27" s="221"/>
      <c r="QH27" s="221"/>
      <c r="QI27" s="221"/>
      <c r="QJ27" s="221"/>
      <c r="QK27" s="221"/>
      <c r="QL27" s="221"/>
      <c r="QM27" s="221"/>
      <c r="QN27" s="221"/>
      <c r="QO27" s="221"/>
      <c r="QP27" s="221"/>
      <c r="QQ27" s="221"/>
      <c r="QR27" s="221"/>
      <c r="QS27" s="221"/>
      <c r="QT27" s="221"/>
      <c r="QU27" s="221"/>
      <c r="QV27" s="221"/>
      <c r="QW27" s="221"/>
      <c r="QX27" s="221"/>
      <c r="QY27" s="221"/>
      <c r="QZ27" s="221"/>
      <c r="RA27" s="221"/>
      <c r="RB27" s="221"/>
      <c r="RC27" s="221"/>
      <c r="RD27" s="221"/>
      <c r="RE27" s="221"/>
      <c r="RF27" s="221"/>
      <c r="RG27" s="221"/>
      <c r="RH27" s="221"/>
      <c r="RI27" s="221"/>
      <c r="RJ27" s="221"/>
      <c r="RK27" s="221"/>
      <c r="RL27" s="221"/>
      <c r="RM27" s="221"/>
      <c r="RN27" s="221"/>
      <c r="RO27" s="221"/>
      <c r="RP27" s="221"/>
      <c r="RQ27" s="221"/>
      <c r="RR27" s="221"/>
      <c r="RS27" s="221"/>
      <c r="RT27" s="221"/>
      <c r="RU27" s="221"/>
      <c r="RV27" s="221"/>
      <c r="RW27" s="221"/>
      <c r="RX27" s="221"/>
      <c r="RY27" s="221"/>
      <c r="RZ27" s="221"/>
      <c r="SA27" s="221"/>
      <c r="SB27" s="221"/>
      <c r="SC27" s="221"/>
      <c r="SD27" s="221"/>
      <c r="SE27" s="221"/>
      <c r="SF27" s="221"/>
      <c r="SG27" s="221"/>
      <c r="SH27" s="221"/>
      <c r="SI27" s="221"/>
      <c r="SJ27" s="221"/>
      <c r="SK27" s="221"/>
      <c r="SL27" s="221"/>
      <c r="SM27" s="221"/>
      <c r="SN27" s="221"/>
      <c r="SO27" s="221"/>
      <c r="SP27" s="221"/>
      <c r="SQ27" s="221"/>
      <c r="SR27" s="221"/>
      <c r="SS27" s="221"/>
      <c r="ST27" s="221"/>
      <c r="SU27" s="221"/>
      <c r="SV27" s="221"/>
      <c r="SW27" s="221"/>
      <c r="SX27" s="221"/>
      <c r="SY27" s="221"/>
      <c r="SZ27" s="221"/>
      <c r="TA27" s="221"/>
      <c r="TB27" s="221"/>
      <c r="TC27" s="221"/>
      <c r="TD27" s="221"/>
      <c r="TE27" s="221"/>
      <c r="TF27" s="221"/>
      <c r="TG27" s="221"/>
      <c r="TH27" s="221"/>
      <c r="TI27" s="221"/>
      <c r="TJ27" s="221"/>
      <c r="TK27" s="221"/>
      <c r="TL27" s="221"/>
      <c r="TM27" s="221"/>
      <c r="TN27" s="221"/>
      <c r="TO27" s="221"/>
      <c r="TP27" s="221"/>
      <c r="TQ27" s="221"/>
      <c r="TR27" s="221"/>
      <c r="TS27" s="221"/>
      <c r="TT27" s="221"/>
      <c r="TU27" s="221"/>
      <c r="TV27" s="221"/>
      <c r="TW27" s="221"/>
      <c r="TX27" s="221"/>
      <c r="TY27" s="221"/>
      <c r="TZ27" s="221"/>
      <c r="UA27" s="221"/>
      <c r="UB27" s="221"/>
      <c r="UC27" s="221"/>
      <c r="UD27" s="221"/>
      <c r="UE27" s="221"/>
      <c r="UF27" s="221"/>
      <c r="UG27" s="221"/>
      <c r="UH27" s="221"/>
      <c r="UI27" s="221"/>
      <c r="UJ27" s="221"/>
      <c r="UK27" s="221"/>
      <c r="UL27" s="221"/>
      <c r="UM27" s="221"/>
      <c r="UN27" s="221"/>
      <c r="UO27" s="221"/>
      <c r="UP27" s="221"/>
      <c r="UQ27" s="221"/>
      <c r="UR27" s="221"/>
      <c r="US27" s="221"/>
      <c r="UT27" s="221"/>
      <c r="UU27" s="221"/>
      <c r="UV27" s="221"/>
      <c r="UW27" s="221"/>
      <c r="UX27" s="221"/>
      <c r="UY27" s="221"/>
      <c r="UZ27" s="221"/>
      <c r="VA27" s="221"/>
      <c r="VB27" s="221"/>
      <c r="VC27" s="221"/>
      <c r="VD27" s="221"/>
      <c r="VE27" s="221"/>
      <c r="VF27" s="221"/>
      <c r="VG27" s="221"/>
      <c r="VH27" s="221"/>
      <c r="VI27" s="221"/>
      <c r="VJ27" s="221"/>
      <c r="VK27" s="221"/>
      <c r="VL27" s="221"/>
      <c r="VM27" s="221"/>
      <c r="VN27" s="221"/>
      <c r="VO27" s="221"/>
      <c r="VP27" s="221"/>
      <c r="VQ27" s="221"/>
      <c r="VR27" s="221"/>
      <c r="VS27" s="221"/>
      <c r="VT27" s="221"/>
      <c r="VU27" s="221"/>
      <c r="VV27" s="221"/>
      <c r="VW27" s="221"/>
      <c r="VX27" s="221"/>
      <c r="VY27" s="221"/>
      <c r="VZ27" s="221"/>
      <c r="WA27" s="221"/>
      <c r="WB27" s="221"/>
      <c r="WC27" s="221"/>
      <c r="WD27" s="221"/>
      <c r="WE27" s="221"/>
      <c r="WF27" s="221"/>
      <c r="WG27" s="221"/>
      <c r="WH27" s="221"/>
      <c r="WI27" s="221"/>
      <c r="WJ27" s="221"/>
      <c r="WK27" s="221"/>
      <c r="WL27" s="221"/>
      <c r="WM27" s="221"/>
      <c r="WN27" s="221"/>
      <c r="WO27" s="221"/>
      <c r="WP27" s="221"/>
      <c r="WQ27" s="221"/>
      <c r="WR27" s="221"/>
      <c r="WS27" s="221"/>
      <c r="WT27" s="221"/>
      <c r="WU27" s="221"/>
      <c r="WV27" s="221"/>
      <c r="WW27" s="221"/>
      <c r="WX27" s="221"/>
      <c r="WY27" s="221"/>
      <c r="WZ27" s="221"/>
      <c r="XA27" s="221"/>
      <c r="XB27" s="221"/>
      <c r="XC27" s="221"/>
      <c r="XD27" s="221"/>
      <c r="XE27" s="221"/>
      <c r="XF27" s="221"/>
      <c r="XG27" s="221"/>
      <c r="XH27" s="221"/>
      <c r="XI27" s="221"/>
      <c r="XJ27" s="221"/>
      <c r="XK27" s="221"/>
      <c r="XL27" s="221"/>
      <c r="XM27" s="221"/>
      <c r="XN27" s="221"/>
      <c r="XO27" s="221"/>
      <c r="XP27" s="221"/>
      <c r="XQ27" s="221"/>
      <c r="XR27" s="221"/>
      <c r="XS27" s="221"/>
      <c r="XT27" s="221"/>
      <c r="XU27" s="221"/>
      <c r="XV27" s="221"/>
      <c r="XW27" s="221"/>
      <c r="XX27" s="221"/>
      <c r="XY27" s="221"/>
      <c r="XZ27" s="221"/>
      <c r="YA27" s="221"/>
      <c r="YB27" s="221"/>
      <c r="YC27" s="221"/>
      <c r="YD27" s="221"/>
      <c r="YE27" s="221"/>
      <c r="YF27" s="221"/>
      <c r="YG27" s="221"/>
      <c r="YH27" s="221"/>
      <c r="YI27" s="221"/>
      <c r="YJ27" s="221"/>
      <c r="YK27" s="221"/>
      <c r="YL27" s="221"/>
      <c r="YM27" s="221"/>
      <c r="YN27" s="221"/>
      <c r="YO27" s="221"/>
      <c r="YP27" s="221"/>
      <c r="YQ27" s="221"/>
      <c r="YR27" s="221"/>
      <c r="YS27" s="221"/>
      <c r="YT27" s="221"/>
      <c r="YU27" s="221"/>
      <c r="YV27" s="221"/>
      <c r="YW27" s="221"/>
      <c r="YX27" s="221"/>
      <c r="YY27" s="221"/>
      <c r="YZ27" s="221"/>
      <c r="ZA27" s="221"/>
      <c r="ZB27" s="221"/>
      <c r="ZC27" s="221"/>
      <c r="ZD27" s="221"/>
      <c r="ZE27" s="221"/>
      <c r="ZF27" s="221"/>
      <c r="ZG27" s="221"/>
      <c r="ZH27" s="221"/>
      <c r="ZI27" s="221"/>
      <c r="ZJ27" s="221"/>
      <c r="ZK27" s="221"/>
      <c r="ZL27" s="221"/>
      <c r="ZM27" s="221"/>
      <c r="ZN27" s="221"/>
      <c r="ZO27" s="221"/>
      <c r="ZP27" s="221"/>
      <c r="ZQ27" s="221"/>
      <c r="ZR27" s="221"/>
      <c r="ZS27" s="221"/>
      <c r="ZT27" s="221"/>
      <c r="ZU27" s="221"/>
      <c r="ZV27" s="221"/>
      <c r="ZW27" s="221"/>
      <c r="ZX27" s="221"/>
      <c r="ZY27" s="221"/>
      <c r="ZZ27" s="221"/>
      <c r="AAA27" s="221"/>
      <c r="AAB27" s="221"/>
      <c r="AAC27" s="221"/>
      <c r="AAD27" s="221"/>
      <c r="AAE27" s="221"/>
      <c r="AAF27" s="221"/>
      <c r="AAG27" s="221"/>
      <c r="AAH27" s="221"/>
      <c r="AAI27" s="221"/>
      <c r="AAJ27" s="221"/>
      <c r="AAK27" s="221"/>
      <c r="AAL27" s="221"/>
      <c r="AAM27" s="221"/>
      <c r="AAN27" s="221"/>
      <c r="AAO27" s="221"/>
      <c r="AAP27" s="221"/>
      <c r="AAQ27" s="221"/>
      <c r="AAR27" s="221"/>
      <c r="AAS27" s="221"/>
      <c r="AAT27" s="221"/>
      <c r="AAU27" s="221"/>
      <c r="AAV27" s="221"/>
      <c r="AAW27" s="221"/>
      <c r="AAX27" s="221"/>
      <c r="AAY27" s="221"/>
      <c r="AAZ27" s="221"/>
      <c r="ABA27" s="221"/>
      <c r="ABB27" s="221"/>
      <c r="ABC27" s="221"/>
      <c r="ABD27" s="221"/>
      <c r="ABE27" s="221"/>
      <c r="ABF27" s="221"/>
      <c r="ABG27" s="221"/>
      <c r="ABH27" s="221"/>
      <c r="ABI27" s="221"/>
      <c r="ABJ27" s="221"/>
      <c r="ABK27" s="221"/>
      <c r="ABL27" s="221"/>
      <c r="ABM27" s="221"/>
      <c r="ABN27" s="221"/>
      <c r="ABO27" s="221"/>
      <c r="ABP27" s="221"/>
      <c r="ABQ27" s="221"/>
      <c r="ABR27" s="221"/>
      <c r="ABS27" s="221"/>
      <c r="ABT27" s="221"/>
      <c r="ABU27" s="221"/>
      <c r="ABV27" s="221"/>
      <c r="ABW27" s="221"/>
      <c r="ABX27" s="221"/>
      <c r="ABY27" s="221"/>
      <c r="ABZ27" s="221"/>
      <c r="ACA27" s="221"/>
      <c r="ACB27" s="221"/>
      <c r="ACC27" s="221"/>
      <c r="ACD27" s="221"/>
      <c r="ACE27" s="221"/>
      <c r="ACF27" s="221"/>
      <c r="ACG27" s="221"/>
      <c r="ACH27" s="221"/>
      <c r="ACI27" s="221"/>
      <c r="ACJ27" s="221"/>
      <c r="ACK27" s="221"/>
      <c r="ACL27" s="221"/>
      <c r="ACM27" s="221"/>
      <c r="ACN27" s="221"/>
      <c r="ACO27" s="221"/>
      <c r="ACP27" s="221"/>
      <c r="ACQ27" s="221"/>
      <c r="ACR27" s="221"/>
      <c r="ACS27" s="221"/>
      <c r="ACT27" s="221"/>
      <c r="ACU27" s="221"/>
      <c r="ACV27" s="221"/>
      <c r="ACW27" s="221"/>
      <c r="ACX27" s="221"/>
      <c r="ACY27" s="221"/>
      <c r="ACZ27" s="221"/>
      <c r="ADA27" s="221"/>
      <c r="ADB27" s="221"/>
      <c r="ADC27" s="221"/>
      <c r="ADD27" s="221"/>
      <c r="ADE27" s="221"/>
      <c r="ADF27" s="221"/>
      <c r="ADG27" s="221"/>
      <c r="ADH27" s="221"/>
      <c r="ADI27" s="221"/>
      <c r="ADJ27" s="221"/>
      <c r="ADK27" s="221"/>
      <c r="ADL27" s="221"/>
      <c r="ADM27" s="221"/>
      <c r="ADN27" s="221"/>
      <c r="ADO27" s="221"/>
      <c r="ADP27" s="221"/>
      <c r="ADQ27" s="221"/>
      <c r="ADR27" s="221"/>
      <c r="ADS27" s="221"/>
      <c r="ADT27" s="221"/>
      <c r="ADU27" s="221"/>
      <c r="ADV27" s="221"/>
      <c r="ADW27" s="221"/>
      <c r="ADX27" s="221"/>
      <c r="ADY27" s="221"/>
      <c r="ADZ27" s="221"/>
      <c r="AEA27" s="221"/>
      <c r="AEB27" s="221"/>
      <c r="AEC27" s="221"/>
      <c r="AED27" s="221"/>
      <c r="AEE27" s="221"/>
      <c r="AEF27" s="221"/>
      <c r="AEG27" s="221"/>
      <c r="AEH27" s="221"/>
      <c r="AEI27" s="221"/>
      <c r="AEJ27" s="221"/>
      <c r="AEK27" s="221"/>
      <c r="AEL27" s="221"/>
      <c r="AEM27" s="221"/>
      <c r="AEN27" s="221"/>
      <c r="AEO27" s="221"/>
      <c r="AEP27" s="221"/>
      <c r="AEQ27" s="221"/>
      <c r="AER27" s="221"/>
      <c r="AES27" s="221"/>
      <c r="AET27" s="221"/>
      <c r="AEU27" s="221"/>
      <c r="AEV27" s="221"/>
      <c r="AEW27" s="221"/>
      <c r="AEX27" s="221"/>
      <c r="AEY27" s="221"/>
      <c r="AEZ27" s="221"/>
      <c r="AFA27" s="221"/>
      <c r="AFB27" s="221"/>
      <c r="AFC27" s="221"/>
      <c r="AFD27" s="221"/>
      <c r="AFE27" s="221"/>
      <c r="AFF27" s="221"/>
      <c r="AFG27" s="221"/>
      <c r="AFH27" s="221"/>
      <c r="AFI27" s="221"/>
      <c r="AFJ27" s="221"/>
      <c r="AFK27" s="221"/>
      <c r="AFL27" s="221"/>
      <c r="AFM27" s="221"/>
      <c r="AFN27" s="221"/>
      <c r="AFO27" s="221"/>
      <c r="AFP27" s="221"/>
      <c r="AFQ27" s="221"/>
      <c r="AFR27" s="221"/>
      <c r="AFS27" s="221"/>
      <c r="AFT27" s="221"/>
      <c r="AFU27" s="221"/>
      <c r="AFV27" s="221"/>
      <c r="AFW27" s="221"/>
      <c r="AFX27" s="221"/>
      <c r="AFY27" s="221"/>
      <c r="AFZ27" s="221"/>
      <c r="AGA27" s="221"/>
      <c r="AGB27" s="221"/>
      <c r="AGC27" s="221"/>
      <c r="AGD27" s="221"/>
      <c r="AGE27" s="221"/>
      <c r="AGF27" s="221"/>
      <c r="AGG27" s="221"/>
      <c r="AGH27" s="221"/>
      <c r="AGI27" s="221"/>
      <c r="AGJ27" s="221"/>
      <c r="AGK27" s="221"/>
      <c r="AGL27" s="221"/>
      <c r="AGM27" s="221"/>
      <c r="AGN27" s="221"/>
      <c r="AGO27" s="221"/>
      <c r="AGP27" s="221"/>
      <c r="AGQ27" s="221"/>
      <c r="AGR27" s="221"/>
      <c r="AGS27" s="221"/>
      <c r="AGT27" s="221"/>
      <c r="AGU27" s="221"/>
      <c r="AGV27" s="221"/>
      <c r="AGW27" s="221"/>
      <c r="AGX27" s="221"/>
      <c r="AGY27" s="221"/>
      <c r="AGZ27" s="221"/>
      <c r="AHA27" s="221"/>
      <c r="AHB27" s="221"/>
      <c r="AHC27" s="221"/>
      <c r="AHD27" s="221"/>
      <c r="AHE27" s="221"/>
      <c r="AHF27" s="221"/>
      <c r="AHG27" s="221"/>
      <c r="AHH27" s="221"/>
      <c r="AHI27" s="221"/>
      <c r="AHJ27" s="221"/>
      <c r="AHK27" s="221"/>
      <c r="AHL27" s="221"/>
      <c r="AHM27" s="221"/>
      <c r="AHN27" s="221"/>
      <c r="AHO27" s="221"/>
      <c r="AHP27" s="221"/>
      <c r="AHQ27" s="221"/>
      <c r="AHR27" s="221"/>
      <c r="AHS27" s="221"/>
      <c r="AHT27" s="221"/>
      <c r="AHU27" s="221"/>
      <c r="AHV27" s="221"/>
      <c r="AHW27" s="221"/>
      <c r="AHX27" s="221"/>
      <c r="AHY27" s="221"/>
      <c r="AHZ27" s="221"/>
      <c r="AIA27" s="221"/>
    </row>
    <row r="28" spans="1:911" s="34" customFormat="1" ht="27" customHeight="1" x14ac:dyDescent="0.2">
      <c r="A28" s="28">
        <v>16</v>
      </c>
      <c r="B28" s="29"/>
      <c r="C28" s="30" t="s">
        <v>37</v>
      </c>
      <c r="D28" s="29" t="s">
        <v>38</v>
      </c>
      <c r="E28" s="31">
        <f t="shared" si="3"/>
        <v>437.3</v>
      </c>
      <c r="F28" s="31">
        <f t="shared" si="4"/>
        <v>437.3</v>
      </c>
      <c r="G28" s="32">
        <f>427.2+0.2+7.1+0.5</f>
        <v>435</v>
      </c>
      <c r="H28" s="32">
        <v>435</v>
      </c>
      <c r="I28" s="32">
        <f>281.4+0.2+21.3+0.5</f>
        <v>303.39999999999998</v>
      </c>
      <c r="J28" s="32">
        <v>303.39999999999998</v>
      </c>
      <c r="K28" s="32">
        <f>9.9-7.1-0.5</f>
        <v>2.3000000000000007</v>
      </c>
      <c r="L28" s="33">
        <f t="shared" si="1"/>
        <v>0</v>
      </c>
      <c r="M28" s="33">
        <f>7.1+0.5</f>
        <v>7.6</v>
      </c>
      <c r="N28" s="33">
        <f>21.3+0.5</f>
        <v>21.8</v>
      </c>
      <c r="O28" s="34">
        <f>-7.1-0.5</f>
        <v>-7.6</v>
      </c>
      <c r="P28" s="35">
        <f t="shared" si="2"/>
        <v>0</v>
      </c>
      <c r="Q28" s="35"/>
      <c r="X28" s="36">
        <f>2.3</f>
        <v>2.2999999999999998</v>
      </c>
      <c r="Y28" s="232"/>
      <c r="Z28" s="221"/>
      <c r="AA28" s="221"/>
      <c r="AB28" s="221"/>
      <c r="AC28" s="221"/>
      <c r="AD28" s="221"/>
      <c r="AE28" s="221"/>
      <c r="AF28" s="221"/>
      <c r="AG28" s="221"/>
      <c r="AH28" s="221"/>
      <c r="AI28" s="221"/>
      <c r="AJ28" s="221"/>
      <c r="AK28" s="221"/>
      <c r="AL28" s="221"/>
      <c r="AM28" s="221"/>
      <c r="AN28" s="221"/>
      <c r="AO28" s="221"/>
      <c r="AP28" s="221"/>
      <c r="AQ28" s="221"/>
      <c r="AR28" s="221"/>
      <c r="AS28" s="221"/>
      <c r="AT28" s="221"/>
      <c r="AU28" s="221"/>
      <c r="AV28" s="221"/>
      <c r="AW28" s="221"/>
      <c r="AX28" s="221"/>
      <c r="AY28" s="221"/>
      <c r="AZ28" s="221"/>
      <c r="BA28" s="221"/>
      <c r="BB28" s="221"/>
      <c r="BC28" s="221"/>
      <c r="BD28" s="221"/>
      <c r="BE28" s="221"/>
      <c r="BF28" s="221"/>
      <c r="BG28" s="221"/>
      <c r="BH28" s="221"/>
      <c r="BI28" s="221"/>
      <c r="BJ28" s="221"/>
      <c r="BK28" s="221"/>
      <c r="BL28" s="221"/>
      <c r="BM28" s="221"/>
      <c r="BN28" s="221"/>
      <c r="BO28" s="221"/>
      <c r="BP28" s="221"/>
      <c r="BQ28" s="221"/>
      <c r="BR28" s="221"/>
      <c r="BS28" s="221"/>
      <c r="BT28" s="221"/>
      <c r="BU28" s="221"/>
      <c r="BV28" s="221"/>
      <c r="BW28" s="221"/>
      <c r="BX28" s="221"/>
      <c r="BY28" s="221"/>
      <c r="BZ28" s="221"/>
      <c r="CA28" s="221"/>
      <c r="CB28" s="221"/>
      <c r="CC28" s="221"/>
      <c r="CD28" s="221"/>
      <c r="CE28" s="221"/>
      <c r="CF28" s="221"/>
      <c r="CG28" s="221"/>
      <c r="CH28" s="221"/>
      <c r="CI28" s="221"/>
      <c r="CJ28" s="221"/>
      <c r="CK28" s="221"/>
      <c r="CL28" s="221"/>
      <c r="CM28" s="221"/>
      <c r="CN28" s="221"/>
      <c r="CO28" s="221"/>
      <c r="CP28" s="221"/>
      <c r="CQ28" s="221"/>
      <c r="CR28" s="221"/>
      <c r="CS28" s="221"/>
      <c r="CT28" s="221"/>
      <c r="CU28" s="221"/>
      <c r="CV28" s="221"/>
      <c r="CW28" s="221"/>
      <c r="CX28" s="221"/>
      <c r="CY28" s="221"/>
      <c r="CZ28" s="221"/>
      <c r="DA28" s="221"/>
      <c r="DB28" s="221"/>
      <c r="DC28" s="221"/>
      <c r="DD28" s="221"/>
      <c r="DE28" s="221"/>
      <c r="DF28" s="221"/>
      <c r="DG28" s="221"/>
      <c r="DH28" s="221"/>
      <c r="DI28" s="221"/>
      <c r="DJ28" s="221"/>
      <c r="DK28" s="221"/>
      <c r="DL28" s="221"/>
      <c r="DM28" s="221"/>
      <c r="DN28" s="221"/>
      <c r="DO28" s="221"/>
      <c r="DP28" s="221"/>
      <c r="DQ28" s="221"/>
      <c r="DR28" s="221"/>
      <c r="DS28" s="221"/>
      <c r="DT28" s="221"/>
      <c r="DU28" s="221"/>
      <c r="DV28" s="221"/>
      <c r="DW28" s="221"/>
      <c r="DX28" s="221"/>
      <c r="DY28" s="221"/>
      <c r="DZ28" s="221"/>
      <c r="EA28" s="221"/>
      <c r="EB28" s="221"/>
      <c r="EC28" s="221"/>
      <c r="ED28" s="221"/>
      <c r="EE28" s="221"/>
      <c r="EF28" s="221"/>
      <c r="EG28" s="221"/>
      <c r="EH28" s="221"/>
      <c r="EI28" s="221"/>
      <c r="EJ28" s="221"/>
      <c r="EK28" s="221"/>
      <c r="EL28" s="221"/>
      <c r="EM28" s="221"/>
      <c r="EN28" s="221"/>
      <c r="EO28" s="221"/>
      <c r="EP28" s="221"/>
      <c r="EQ28" s="221"/>
      <c r="ER28" s="221"/>
      <c r="ES28" s="221"/>
      <c r="ET28" s="221"/>
      <c r="EU28" s="221"/>
      <c r="EV28" s="221"/>
      <c r="EW28" s="221"/>
      <c r="EX28" s="221"/>
      <c r="EY28" s="221"/>
      <c r="EZ28" s="221"/>
      <c r="FA28" s="221"/>
      <c r="FB28" s="221"/>
      <c r="FC28" s="221"/>
      <c r="FD28" s="221"/>
      <c r="FE28" s="221"/>
      <c r="FF28" s="221"/>
      <c r="FG28" s="221"/>
      <c r="FH28" s="221"/>
      <c r="FI28" s="221"/>
      <c r="FJ28" s="221"/>
      <c r="FK28" s="221"/>
      <c r="FL28" s="221"/>
      <c r="FM28" s="221"/>
      <c r="FN28" s="221"/>
      <c r="FO28" s="221"/>
      <c r="FP28" s="221"/>
      <c r="FQ28" s="221"/>
      <c r="FR28" s="221"/>
      <c r="FS28" s="221"/>
      <c r="FT28" s="221"/>
      <c r="FU28" s="221"/>
      <c r="FV28" s="221"/>
      <c r="FW28" s="221"/>
      <c r="FX28" s="221"/>
      <c r="FY28" s="221"/>
      <c r="FZ28" s="221"/>
      <c r="GA28" s="221"/>
      <c r="GB28" s="221"/>
      <c r="GC28" s="221"/>
      <c r="GD28" s="221"/>
      <c r="GE28" s="221"/>
      <c r="GF28" s="221"/>
      <c r="GG28" s="221"/>
      <c r="GH28" s="221"/>
      <c r="GI28" s="221"/>
      <c r="GJ28" s="221"/>
      <c r="GK28" s="221"/>
      <c r="GL28" s="221"/>
      <c r="GM28" s="221"/>
      <c r="GN28" s="221"/>
      <c r="GO28" s="221"/>
      <c r="GP28" s="221"/>
      <c r="GQ28" s="221"/>
      <c r="GR28" s="221"/>
      <c r="GS28" s="221"/>
      <c r="GT28" s="221"/>
      <c r="GU28" s="221"/>
      <c r="GV28" s="221"/>
      <c r="GW28" s="221"/>
      <c r="GX28" s="221"/>
      <c r="GY28" s="221"/>
      <c r="GZ28" s="221"/>
      <c r="HA28" s="221"/>
      <c r="HB28" s="221"/>
      <c r="HC28" s="221"/>
      <c r="HD28" s="221"/>
      <c r="HE28" s="221"/>
      <c r="HF28" s="221"/>
      <c r="HG28" s="221"/>
      <c r="HH28" s="221"/>
      <c r="HI28" s="221"/>
      <c r="HJ28" s="221"/>
      <c r="HK28" s="221"/>
      <c r="HL28" s="221"/>
      <c r="HM28" s="221"/>
      <c r="HN28" s="221"/>
      <c r="HO28" s="221"/>
      <c r="HP28" s="221"/>
      <c r="HQ28" s="221"/>
      <c r="HR28" s="221"/>
      <c r="HS28" s="221"/>
      <c r="HT28" s="221"/>
      <c r="HU28" s="221"/>
      <c r="HV28" s="221"/>
      <c r="HW28" s="221"/>
      <c r="HX28" s="221"/>
      <c r="HY28" s="221"/>
      <c r="HZ28" s="221"/>
      <c r="IA28" s="221"/>
      <c r="IB28" s="221"/>
      <c r="IC28" s="221"/>
      <c r="ID28" s="221"/>
      <c r="IE28" s="221"/>
      <c r="IF28" s="221"/>
      <c r="IG28" s="221"/>
      <c r="IH28" s="221"/>
      <c r="II28" s="221"/>
      <c r="IJ28" s="221"/>
      <c r="IK28" s="221"/>
      <c r="IL28" s="221"/>
      <c r="IM28" s="221"/>
      <c r="IN28" s="221"/>
      <c r="IO28" s="221"/>
      <c r="IP28" s="221"/>
      <c r="IQ28" s="221"/>
      <c r="IR28" s="221"/>
      <c r="IS28" s="221"/>
      <c r="IT28" s="221"/>
      <c r="IU28" s="221"/>
      <c r="IV28" s="221"/>
      <c r="IW28" s="221"/>
      <c r="IX28" s="221"/>
      <c r="IY28" s="221"/>
      <c r="IZ28" s="221"/>
      <c r="JA28" s="221"/>
      <c r="JB28" s="221"/>
      <c r="JC28" s="221"/>
      <c r="JD28" s="221"/>
      <c r="JE28" s="221"/>
      <c r="JF28" s="221"/>
      <c r="JG28" s="221"/>
      <c r="JH28" s="221"/>
      <c r="JI28" s="221"/>
      <c r="JJ28" s="221"/>
      <c r="JK28" s="221"/>
      <c r="JL28" s="221"/>
      <c r="JM28" s="221"/>
      <c r="JN28" s="221"/>
      <c r="JO28" s="221"/>
      <c r="JP28" s="221"/>
      <c r="JQ28" s="221"/>
      <c r="JR28" s="221"/>
      <c r="JS28" s="221"/>
      <c r="JT28" s="221"/>
      <c r="JU28" s="221"/>
      <c r="JV28" s="221"/>
      <c r="JW28" s="221"/>
      <c r="JX28" s="221"/>
      <c r="JY28" s="221"/>
      <c r="JZ28" s="221"/>
      <c r="KA28" s="221"/>
      <c r="KB28" s="221"/>
      <c r="KC28" s="221"/>
      <c r="KD28" s="221"/>
      <c r="KE28" s="221"/>
      <c r="KF28" s="221"/>
      <c r="KG28" s="221"/>
      <c r="KH28" s="221"/>
      <c r="KI28" s="221"/>
      <c r="KJ28" s="221"/>
      <c r="KK28" s="221"/>
      <c r="KL28" s="221"/>
      <c r="KM28" s="221"/>
      <c r="KN28" s="221"/>
      <c r="KO28" s="221"/>
      <c r="KP28" s="221"/>
      <c r="KQ28" s="221"/>
      <c r="KR28" s="221"/>
      <c r="KS28" s="221"/>
      <c r="KT28" s="221"/>
      <c r="KU28" s="221"/>
      <c r="KV28" s="221"/>
      <c r="KW28" s="221"/>
      <c r="KX28" s="221"/>
      <c r="KY28" s="221"/>
      <c r="KZ28" s="221"/>
      <c r="LA28" s="221"/>
      <c r="LB28" s="221"/>
      <c r="LC28" s="221"/>
      <c r="LD28" s="221"/>
      <c r="LE28" s="221"/>
      <c r="LF28" s="221"/>
      <c r="LG28" s="221"/>
      <c r="LH28" s="221"/>
      <c r="LI28" s="221"/>
      <c r="LJ28" s="221"/>
      <c r="LK28" s="221"/>
      <c r="LL28" s="221"/>
      <c r="LM28" s="221"/>
      <c r="LN28" s="221"/>
      <c r="LO28" s="221"/>
      <c r="LP28" s="221"/>
      <c r="LQ28" s="221"/>
      <c r="LR28" s="221"/>
      <c r="LS28" s="221"/>
      <c r="LT28" s="221"/>
      <c r="LU28" s="221"/>
      <c r="LV28" s="221"/>
      <c r="LW28" s="221"/>
      <c r="LX28" s="221"/>
      <c r="LY28" s="221"/>
      <c r="LZ28" s="221"/>
      <c r="MA28" s="221"/>
      <c r="MB28" s="221"/>
      <c r="MC28" s="221"/>
      <c r="MD28" s="221"/>
      <c r="ME28" s="221"/>
      <c r="MF28" s="221"/>
      <c r="MG28" s="221"/>
      <c r="MH28" s="221"/>
      <c r="MI28" s="221"/>
      <c r="MJ28" s="221"/>
      <c r="MK28" s="221"/>
      <c r="ML28" s="221"/>
      <c r="MM28" s="221"/>
      <c r="MN28" s="221"/>
      <c r="MO28" s="221"/>
      <c r="MP28" s="221"/>
      <c r="MQ28" s="221"/>
      <c r="MR28" s="221"/>
      <c r="MS28" s="221"/>
      <c r="MT28" s="221"/>
      <c r="MU28" s="221"/>
      <c r="MV28" s="221"/>
      <c r="MW28" s="221"/>
      <c r="MX28" s="221"/>
      <c r="MY28" s="221"/>
      <c r="MZ28" s="221"/>
      <c r="NA28" s="221"/>
      <c r="NB28" s="221"/>
      <c r="NC28" s="221"/>
      <c r="ND28" s="221"/>
      <c r="NE28" s="221"/>
      <c r="NF28" s="221"/>
      <c r="NG28" s="221"/>
      <c r="NH28" s="221"/>
      <c r="NI28" s="221"/>
      <c r="NJ28" s="221"/>
      <c r="NK28" s="221"/>
      <c r="NL28" s="221"/>
      <c r="NM28" s="221"/>
      <c r="NN28" s="221"/>
      <c r="NO28" s="221"/>
      <c r="NP28" s="221"/>
      <c r="NQ28" s="221"/>
      <c r="NR28" s="221"/>
      <c r="NS28" s="221"/>
      <c r="NT28" s="221"/>
      <c r="NU28" s="221"/>
      <c r="NV28" s="221"/>
      <c r="NW28" s="221"/>
      <c r="NX28" s="221"/>
      <c r="NY28" s="221"/>
      <c r="NZ28" s="221"/>
      <c r="OA28" s="221"/>
      <c r="OB28" s="221"/>
      <c r="OC28" s="221"/>
      <c r="OD28" s="221"/>
      <c r="OE28" s="221"/>
      <c r="OF28" s="221"/>
      <c r="OG28" s="221"/>
      <c r="OH28" s="221"/>
      <c r="OI28" s="221"/>
      <c r="OJ28" s="221"/>
      <c r="OK28" s="221"/>
      <c r="OL28" s="221"/>
      <c r="OM28" s="221"/>
      <c r="ON28" s="221"/>
      <c r="OO28" s="221"/>
      <c r="OP28" s="221"/>
      <c r="OQ28" s="221"/>
      <c r="OR28" s="221"/>
      <c r="OS28" s="221"/>
      <c r="OT28" s="221"/>
      <c r="OU28" s="221"/>
      <c r="OV28" s="221"/>
      <c r="OW28" s="221"/>
      <c r="OX28" s="221"/>
      <c r="OY28" s="221"/>
      <c r="OZ28" s="221"/>
      <c r="PA28" s="221"/>
      <c r="PB28" s="221"/>
      <c r="PC28" s="221"/>
      <c r="PD28" s="221"/>
      <c r="PE28" s="221"/>
      <c r="PF28" s="221"/>
      <c r="PG28" s="221"/>
      <c r="PH28" s="221"/>
      <c r="PI28" s="221"/>
      <c r="PJ28" s="221"/>
      <c r="PK28" s="221"/>
      <c r="PL28" s="221"/>
      <c r="PM28" s="221"/>
      <c r="PN28" s="221"/>
      <c r="PO28" s="221"/>
      <c r="PP28" s="221"/>
      <c r="PQ28" s="221"/>
      <c r="PR28" s="221"/>
      <c r="PS28" s="221"/>
      <c r="PT28" s="221"/>
      <c r="PU28" s="221"/>
      <c r="PV28" s="221"/>
      <c r="PW28" s="221"/>
      <c r="PX28" s="221"/>
      <c r="PY28" s="221"/>
      <c r="PZ28" s="221"/>
      <c r="QA28" s="221"/>
      <c r="QB28" s="221"/>
      <c r="QC28" s="221"/>
      <c r="QD28" s="221"/>
      <c r="QE28" s="221"/>
      <c r="QF28" s="221"/>
      <c r="QG28" s="221"/>
      <c r="QH28" s="221"/>
      <c r="QI28" s="221"/>
      <c r="QJ28" s="221"/>
      <c r="QK28" s="221"/>
      <c r="QL28" s="221"/>
      <c r="QM28" s="221"/>
      <c r="QN28" s="221"/>
      <c r="QO28" s="221"/>
      <c r="QP28" s="221"/>
      <c r="QQ28" s="221"/>
      <c r="QR28" s="221"/>
      <c r="QS28" s="221"/>
      <c r="QT28" s="221"/>
      <c r="QU28" s="221"/>
      <c r="QV28" s="221"/>
      <c r="QW28" s="221"/>
      <c r="QX28" s="221"/>
      <c r="QY28" s="221"/>
      <c r="QZ28" s="221"/>
      <c r="RA28" s="221"/>
      <c r="RB28" s="221"/>
      <c r="RC28" s="221"/>
      <c r="RD28" s="221"/>
      <c r="RE28" s="221"/>
      <c r="RF28" s="221"/>
      <c r="RG28" s="221"/>
      <c r="RH28" s="221"/>
      <c r="RI28" s="221"/>
      <c r="RJ28" s="221"/>
      <c r="RK28" s="221"/>
      <c r="RL28" s="221"/>
      <c r="RM28" s="221"/>
      <c r="RN28" s="221"/>
      <c r="RO28" s="221"/>
      <c r="RP28" s="221"/>
      <c r="RQ28" s="221"/>
      <c r="RR28" s="221"/>
      <c r="RS28" s="221"/>
      <c r="RT28" s="221"/>
      <c r="RU28" s="221"/>
      <c r="RV28" s="221"/>
      <c r="RW28" s="221"/>
      <c r="RX28" s="221"/>
      <c r="RY28" s="221"/>
      <c r="RZ28" s="221"/>
      <c r="SA28" s="221"/>
      <c r="SB28" s="221"/>
      <c r="SC28" s="221"/>
      <c r="SD28" s="221"/>
      <c r="SE28" s="221"/>
      <c r="SF28" s="221"/>
      <c r="SG28" s="221"/>
      <c r="SH28" s="221"/>
      <c r="SI28" s="221"/>
      <c r="SJ28" s="221"/>
      <c r="SK28" s="221"/>
      <c r="SL28" s="221"/>
      <c r="SM28" s="221"/>
      <c r="SN28" s="221"/>
      <c r="SO28" s="221"/>
      <c r="SP28" s="221"/>
      <c r="SQ28" s="221"/>
      <c r="SR28" s="221"/>
      <c r="SS28" s="221"/>
      <c r="ST28" s="221"/>
      <c r="SU28" s="221"/>
      <c r="SV28" s="221"/>
      <c r="SW28" s="221"/>
      <c r="SX28" s="221"/>
      <c r="SY28" s="221"/>
      <c r="SZ28" s="221"/>
      <c r="TA28" s="221"/>
      <c r="TB28" s="221"/>
      <c r="TC28" s="221"/>
      <c r="TD28" s="221"/>
      <c r="TE28" s="221"/>
      <c r="TF28" s="221"/>
      <c r="TG28" s="221"/>
      <c r="TH28" s="221"/>
      <c r="TI28" s="221"/>
      <c r="TJ28" s="221"/>
      <c r="TK28" s="221"/>
      <c r="TL28" s="221"/>
      <c r="TM28" s="221"/>
      <c r="TN28" s="221"/>
      <c r="TO28" s="221"/>
      <c r="TP28" s="221"/>
      <c r="TQ28" s="221"/>
      <c r="TR28" s="221"/>
      <c r="TS28" s="221"/>
      <c r="TT28" s="221"/>
      <c r="TU28" s="221"/>
      <c r="TV28" s="221"/>
      <c r="TW28" s="221"/>
      <c r="TX28" s="221"/>
      <c r="TY28" s="221"/>
      <c r="TZ28" s="221"/>
      <c r="UA28" s="221"/>
      <c r="UB28" s="221"/>
      <c r="UC28" s="221"/>
      <c r="UD28" s="221"/>
      <c r="UE28" s="221"/>
      <c r="UF28" s="221"/>
      <c r="UG28" s="221"/>
      <c r="UH28" s="221"/>
      <c r="UI28" s="221"/>
      <c r="UJ28" s="221"/>
      <c r="UK28" s="221"/>
      <c r="UL28" s="221"/>
      <c r="UM28" s="221"/>
      <c r="UN28" s="221"/>
      <c r="UO28" s="221"/>
      <c r="UP28" s="221"/>
      <c r="UQ28" s="221"/>
      <c r="UR28" s="221"/>
      <c r="US28" s="221"/>
      <c r="UT28" s="221"/>
      <c r="UU28" s="221"/>
      <c r="UV28" s="221"/>
      <c r="UW28" s="221"/>
      <c r="UX28" s="221"/>
      <c r="UY28" s="221"/>
      <c r="UZ28" s="221"/>
      <c r="VA28" s="221"/>
      <c r="VB28" s="221"/>
      <c r="VC28" s="221"/>
      <c r="VD28" s="221"/>
      <c r="VE28" s="221"/>
      <c r="VF28" s="221"/>
      <c r="VG28" s="221"/>
      <c r="VH28" s="221"/>
      <c r="VI28" s="221"/>
      <c r="VJ28" s="221"/>
      <c r="VK28" s="221"/>
      <c r="VL28" s="221"/>
      <c r="VM28" s="221"/>
      <c r="VN28" s="221"/>
      <c r="VO28" s="221"/>
      <c r="VP28" s="221"/>
      <c r="VQ28" s="221"/>
      <c r="VR28" s="221"/>
      <c r="VS28" s="221"/>
      <c r="VT28" s="221"/>
      <c r="VU28" s="221"/>
      <c r="VV28" s="221"/>
      <c r="VW28" s="221"/>
      <c r="VX28" s="221"/>
      <c r="VY28" s="221"/>
      <c r="VZ28" s="221"/>
      <c r="WA28" s="221"/>
      <c r="WB28" s="221"/>
      <c r="WC28" s="221"/>
      <c r="WD28" s="221"/>
      <c r="WE28" s="221"/>
      <c r="WF28" s="221"/>
      <c r="WG28" s="221"/>
      <c r="WH28" s="221"/>
      <c r="WI28" s="221"/>
      <c r="WJ28" s="221"/>
      <c r="WK28" s="221"/>
      <c r="WL28" s="221"/>
      <c r="WM28" s="221"/>
      <c r="WN28" s="221"/>
      <c r="WO28" s="221"/>
      <c r="WP28" s="221"/>
      <c r="WQ28" s="221"/>
      <c r="WR28" s="221"/>
      <c r="WS28" s="221"/>
      <c r="WT28" s="221"/>
      <c r="WU28" s="221"/>
      <c r="WV28" s="221"/>
      <c r="WW28" s="221"/>
      <c r="WX28" s="221"/>
      <c r="WY28" s="221"/>
      <c r="WZ28" s="221"/>
      <c r="XA28" s="221"/>
      <c r="XB28" s="221"/>
      <c r="XC28" s="221"/>
      <c r="XD28" s="221"/>
      <c r="XE28" s="221"/>
      <c r="XF28" s="221"/>
      <c r="XG28" s="221"/>
      <c r="XH28" s="221"/>
      <c r="XI28" s="221"/>
      <c r="XJ28" s="221"/>
      <c r="XK28" s="221"/>
      <c r="XL28" s="221"/>
      <c r="XM28" s="221"/>
      <c r="XN28" s="221"/>
      <c r="XO28" s="221"/>
      <c r="XP28" s="221"/>
      <c r="XQ28" s="221"/>
      <c r="XR28" s="221"/>
      <c r="XS28" s="221"/>
      <c r="XT28" s="221"/>
      <c r="XU28" s="221"/>
      <c r="XV28" s="221"/>
      <c r="XW28" s="221"/>
      <c r="XX28" s="221"/>
      <c r="XY28" s="221"/>
      <c r="XZ28" s="221"/>
      <c r="YA28" s="221"/>
      <c r="YB28" s="221"/>
      <c r="YC28" s="221"/>
      <c r="YD28" s="221"/>
      <c r="YE28" s="221"/>
      <c r="YF28" s="221"/>
      <c r="YG28" s="221"/>
      <c r="YH28" s="221"/>
      <c r="YI28" s="221"/>
      <c r="YJ28" s="221"/>
      <c r="YK28" s="221"/>
      <c r="YL28" s="221"/>
      <c r="YM28" s="221"/>
      <c r="YN28" s="221"/>
      <c r="YO28" s="221"/>
      <c r="YP28" s="221"/>
      <c r="YQ28" s="221"/>
      <c r="YR28" s="221"/>
      <c r="YS28" s="221"/>
      <c r="YT28" s="221"/>
      <c r="YU28" s="221"/>
      <c r="YV28" s="221"/>
      <c r="YW28" s="221"/>
      <c r="YX28" s="221"/>
      <c r="YY28" s="221"/>
      <c r="YZ28" s="221"/>
      <c r="ZA28" s="221"/>
      <c r="ZB28" s="221"/>
      <c r="ZC28" s="221"/>
      <c r="ZD28" s="221"/>
      <c r="ZE28" s="221"/>
      <c r="ZF28" s="221"/>
      <c r="ZG28" s="221"/>
      <c r="ZH28" s="221"/>
      <c r="ZI28" s="221"/>
      <c r="ZJ28" s="221"/>
      <c r="ZK28" s="221"/>
      <c r="ZL28" s="221"/>
      <c r="ZM28" s="221"/>
      <c r="ZN28" s="221"/>
      <c r="ZO28" s="221"/>
      <c r="ZP28" s="221"/>
      <c r="ZQ28" s="221"/>
      <c r="ZR28" s="221"/>
      <c r="ZS28" s="221"/>
      <c r="ZT28" s="221"/>
      <c r="ZU28" s="221"/>
      <c r="ZV28" s="221"/>
      <c r="ZW28" s="221"/>
      <c r="ZX28" s="221"/>
      <c r="ZY28" s="221"/>
      <c r="ZZ28" s="221"/>
      <c r="AAA28" s="221"/>
      <c r="AAB28" s="221"/>
      <c r="AAC28" s="221"/>
      <c r="AAD28" s="221"/>
      <c r="AAE28" s="221"/>
      <c r="AAF28" s="221"/>
      <c r="AAG28" s="221"/>
      <c r="AAH28" s="221"/>
      <c r="AAI28" s="221"/>
      <c r="AAJ28" s="221"/>
      <c r="AAK28" s="221"/>
      <c r="AAL28" s="221"/>
      <c r="AAM28" s="221"/>
      <c r="AAN28" s="221"/>
      <c r="AAO28" s="221"/>
      <c r="AAP28" s="221"/>
      <c r="AAQ28" s="221"/>
      <c r="AAR28" s="221"/>
      <c r="AAS28" s="221"/>
      <c r="AAT28" s="221"/>
      <c r="AAU28" s="221"/>
      <c r="AAV28" s="221"/>
      <c r="AAW28" s="221"/>
      <c r="AAX28" s="221"/>
      <c r="AAY28" s="221"/>
      <c r="AAZ28" s="221"/>
      <c r="ABA28" s="221"/>
      <c r="ABB28" s="221"/>
      <c r="ABC28" s="221"/>
      <c r="ABD28" s="221"/>
      <c r="ABE28" s="221"/>
      <c r="ABF28" s="221"/>
      <c r="ABG28" s="221"/>
      <c r="ABH28" s="221"/>
      <c r="ABI28" s="221"/>
      <c r="ABJ28" s="221"/>
      <c r="ABK28" s="221"/>
      <c r="ABL28" s="221"/>
      <c r="ABM28" s="221"/>
      <c r="ABN28" s="221"/>
      <c r="ABO28" s="221"/>
      <c r="ABP28" s="221"/>
      <c r="ABQ28" s="221"/>
      <c r="ABR28" s="221"/>
      <c r="ABS28" s="221"/>
      <c r="ABT28" s="221"/>
      <c r="ABU28" s="221"/>
      <c r="ABV28" s="221"/>
      <c r="ABW28" s="221"/>
      <c r="ABX28" s="221"/>
      <c r="ABY28" s="221"/>
      <c r="ABZ28" s="221"/>
      <c r="ACA28" s="221"/>
      <c r="ACB28" s="221"/>
      <c r="ACC28" s="221"/>
      <c r="ACD28" s="221"/>
      <c r="ACE28" s="221"/>
      <c r="ACF28" s="221"/>
      <c r="ACG28" s="221"/>
      <c r="ACH28" s="221"/>
      <c r="ACI28" s="221"/>
      <c r="ACJ28" s="221"/>
      <c r="ACK28" s="221"/>
      <c r="ACL28" s="221"/>
      <c r="ACM28" s="221"/>
      <c r="ACN28" s="221"/>
      <c r="ACO28" s="221"/>
      <c r="ACP28" s="221"/>
      <c r="ACQ28" s="221"/>
      <c r="ACR28" s="221"/>
      <c r="ACS28" s="221"/>
      <c r="ACT28" s="221"/>
      <c r="ACU28" s="221"/>
      <c r="ACV28" s="221"/>
      <c r="ACW28" s="221"/>
      <c r="ACX28" s="221"/>
      <c r="ACY28" s="221"/>
      <c r="ACZ28" s="221"/>
      <c r="ADA28" s="221"/>
      <c r="ADB28" s="221"/>
      <c r="ADC28" s="221"/>
      <c r="ADD28" s="221"/>
      <c r="ADE28" s="221"/>
      <c r="ADF28" s="221"/>
      <c r="ADG28" s="221"/>
      <c r="ADH28" s="221"/>
      <c r="ADI28" s="221"/>
      <c r="ADJ28" s="221"/>
      <c r="ADK28" s="221"/>
      <c r="ADL28" s="221"/>
      <c r="ADM28" s="221"/>
      <c r="ADN28" s="221"/>
      <c r="ADO28" s="221"/>
      <c r="ADP28" s="221"/>
      <c r="ADQ28" s="221"/>
      <c r="ADR28" s="221"/>
      <c r="ADS28" s="221"/>
      <c r="ADT28" s="221"/>
      <c r="ADU28" s="221"/>
      <c r="ADV28" s="221"/>
      <c r="ADW28" s="221"/>
      <c r="ADX28" s="221"/>
      <c r="ADY28" s="221"/>
      <c r="ADZ28" s="221"/>
      <c r="AEA28" s="221"/>
      <c r="AEB28" s="221"/>
      <c r="AEC28" s="221"/>
      <c r="AED28" s="221"/>
      <c r="AEE28" s="221"/>
      <c r="AEF28" s="221"/>
      <c r="AEG28" s="221"/>
      <c r="AEH28" s="221"/>
      <c r="AEI28" s="221"/>
      <c r="AEJ28" s="221"/>
      <c r="AEK28" s="221"/>
      <c r="AEL28" s="221"/>
      <c r="AEM28" s="221"/>
      <c r="AEN28" s="221"/>
      <c r="AEO28" s="221"/>
      <c r="AEP28" s="221"/>
      <c r="AEQ28" s="221"/>
      <c r="AER28" s="221"/>
      <c r="AES28" s="221"/>
      <c r="AET28" s="221"/>
      <c r="AEU28" s="221"/>
      <c r="AEV28" s="221"/>
      <c r="AEW28" s="221"/>
      <c r="AEX28" s="221"/>
      <c r="AEY28" s="221"/>
      <c r="AEZ28" s="221"/>
      <c r="AFA28" s="221"/>
      <c r="AFB28" s="221"/>
      <c r="AFC28" s="221"/>
      <c r="AFD28" s="221"/>
      <c r="AFE28" s="221"/>
      <c r="AFF28" s="221"/>
      <c r="AFG28" s="221"/>
      <c r="AFH28" s="221"/>
      <c r="AFI28" s="221"/>
      <c r="AFJ28" s="221"/>
      <c r="AFK28" s="221"/>
      <c r="AFL28" s="221"/>
      <c r="AFM28" s="221"/>
      <c r="AFN28" s="221"/>
      <c r="AFO28" s="221"/>
      <c r="AFP28" s="221"/>
      <c r="AFQ28" s="221"/>
      <c r="AFR28" s="221"/>
      <c r="AFS28" s="221"/>
      <c r="AFT28" s="221"/>
      <c r="AFU28" s="221"/>
      <c r="AFV28" s="221"/>
      <c r="AFW28" s="221"/>
      <c r="AFX28" s="221"/>
      <c r="AFY28" s="221"/>
      <c r="AFZ28" s="221"/>
      <c r="AGA28" s="221"/>
      <c r="AGB28" s="221"/>
      <c r="AGC28" s="221"/>
      <c r="AGD28" s="221"/>
      <c r="AGE28" s="221"/>
      <c r="AGF28" s="221"/>
      <c r="AGG28" s="221"/>
      <c r="AGH28" s="221"/>
      <c r="AGI28" s="221"/>
      <c r="AGJ28" s="221"/>
      <c r="AGK28" s="221"/>
      <c r="AGL28" s="221"/>
      <c r="AGM28" s="221"/>
      <c r="AGN28" s="221"/>
      <c r="AGO28" s="221"/>
      <c r="AGP28" s="221"/>
      <c r="AGQ28" s="221"/>
      <c r="AGR28" s="221"/>
      <c r="AGS28" s="221"/>
      <c r="AGT28" s="221"/>
      <c r="AGU28" s="221"/>
      <c r="AGV28" s="221"/>
      <c r="AGW28" s="221"/>
      <c r="AGX28" s="221"/>
      <c r="AGY28" s="221"/>
      <c r="AGZ28" s="221"/>
      <c r="AHA28" s="221"/>
      <c r="AHB28" s="221"/>
      <c r="AHC28" s="221"/>
      <c r="AHD28" s="221"/>
      <c r="AHE28" s="221"/>
      <c r="AHF28" s="221"/>
      <c r="AHG28" s="221"/>
      <c r="AHH28" s="221"/>
      <c r="AHI28" s="221"/>
      <c r="AHJ28" s="221"/>
      <c r="AHK28" s="221"/>
      <c r="AHL28" s="221"/>
      <c r="AHM28" s="221"/>
      <c r="AHN28" s="221"/>
      <c r="AHO28" s="221"/>
      <c r="AHP28" s="221"/>
      <c r="AHQ28" s="221"/>
      <c r="AHR28" s="221"/>
      <c r="AHS28" s="221"/>
      <c r="AHT28" s="221"/>
      <c r="AHU28" s="221"/>
      <c r="AHV28" s="221"/>
      <c r="AHW28" s="221"/>
      <c r="AHX28" s="221"/>
      <c r="AHY28" s="221"/>
      <c r="AHZ28" s="221"/>
      <c r="AIA28" s="221"/>
    </row>
    <row r="29" spans="1:911" ht="15" customHeight="1" x14ac:dyDescent="0.2">
      <c r="A29" s="25">
        <v>17</v>
      </c>
      <c r="B29" s="26"/>
      <c r="C29" s="17" t="s">
        <v>39</v>
      </c>
      <c r="D29" s="26" t="s">
        <v>38</v>
      </c>
      <c r="E29" s="19">
        <f t="shared" si="3"/>
        <v>282.89999999999998</v>
      </c>
      <c r="F29" s="19">
        <f t="shared" si="4"/>
        <v>282.89999999999998</v>
      </c>
      <c r="G29" s="20">
        <f>277.5+2.9+0.3+2.2</f>
        <v>282.89999999999998</v>
      </c>
      <c r="H29" s="20">
        <v>282.89999999999998</v>
      </c>
      <c r="I29" s="20">
        <f>196.8+2.9+0.3+2.2+1.7</f>
        <v>203.9</v>
      </c>
      <c r="J29" s="20">
        <v>203.9</v>
      </c>
      <c r="K29" s="20"/>
      <c r="L29" s="22">
        <f t="shared" si="1"/>
        <v>0</v>
      </c>
      <c r="M29" s="22"/>
      <c r="N29" s="22">
        <v>1.7</v>
      </c>
      <c r="P29" s="23">
        <f t="shared" si="2"/>
        <v>0</v>
      </c>
      <c r="Q29" s="23"/>
      <c r="X29" s="36"/>
      <c r="Y29" s="232"/>
      <c r="Z29" s="221"/>
      <c r="AA29" s="221"/>
      <c r="AB29" s="221"/>
      <c r="AC29" s="221"/>
      <c r="AD29" s="221"/>
      <c r="AE29" s="221"/>
      <c r="AF29" s="221"/>
      <c r="AG29" s="221"/>
      <c r="AH29" s="221"/>
      <c r="AI29" s="221"/>
      <c r="AJ29" s="221"/>
      <c r="AK29" s="221"/>
      <c r="AL29" s="221"/>
      <c r="AM29" s="221"/>
      <c r="AN29" s="221"/>
      <c r="AO29" s="221"/>
      <c r="AP29" s="221"/>
      <c r="AQ29" s="221"/>
      <c r="AR29" s="221"/>
      <c r="AS29" s="221"/>
      <c r="AT29" s="221"/>
      <c r="AU29" s="221"/>
      <c r="AV29" s="221"/>
      <c r="AW29" s="221"/>
      <c r="AX29" s="221"/>
      <c r="AY29" s="221"/>
      <c r="AZ29" s="221"/>
      <c r="BA29" s="221"/>
      <c r="BB29" s="221"/>
      <c r="BC29" s="221"/>
      <c r="BD29" s="221"/>
      <c r="BE29" s="221"/>
      <c r="BF29" s="221"/>
      <c r="BG29" s="221"/>
      <c r="BH29" s="221"/>
      <c r="BI29" s="221"/>
      <c r="BJ29" s="221"/>
      <c r="BK29" s="221"/>
      <c r="BL29" s="221"/>
      <c r="BM29" s="221"/>
      <c r="BN29" s="221"/>
      <c r="BO29" s="221"/>
      <c r="BP29" s="221"/>
      <c r="BQ29" s="221"/>
      <c r="BR29" s="221"/>
      <c r="BS29" s="221"/>
      <c r="BT29" s="221"/>
      <c r="BU29" s="221"/>
      <c r="BV29" s="221"/>
      <c r="BW29" s="221"/>
      <c r="BX29" s="221"/>
      <c r="BY29" s="221"/>
      <c r="BZ29" s="221"/>
      <c r="CA29" s="221"/>
      <c r="CB29" s="221"/>
      <c r="CC29" s="221"/>
      <c r="CD29" s="221"/>
      <c r="CE29" s="221"/>
      <c r="CF29" s="221"/>
      <c r="CG29" s="221"/>
      <c r="CH29" s="221"/>
      <c r="CI29" s="221"/>
      <c r="CJ29" s="221"/>
      <c r="CK29" s="221"/>
      <c r="CL29" s="221"/>
      <c r="CM29" s="221"/>
      <c r="CN29" s="221"/>
      <c r="CO29" s="221"/>
      <c r="CP29" s="221"/>
      <c r="CQ29" s="221"/>
      <c r="CR29" s="221"/>
      <c r="CS29" s="221"/>
      <c r="CT29" s="221"/>
      <c r="CU29" s="221"/>
      <c r="CV29" s="221"/>
      <c r="CW29" s="221"/>
      <c r="CX29" s="221"/>
      <c r="CY29" s="221"/>
      <c r="CZ29" s="221"/>
      <c r="DA29" s="221"/>
      <c r="DB29" s="221"/>
      <c r="DC29" s="221"/>
      <c r="DD29" s="221"/>
      <c r="DE29" s="221"/>
      <c r="DF29" s="221"/>
      <c r="DG29" s="221"/>
      <c r="DH29" s="221"/>
      <c r="DI29" s="221"/>
      <c r="DJ29" s="221"/>
      <c r="DK29" s="221"/>
      <c r="DL29" s="221"/>
      <c r="DM29" s="221"/>
      <c r="DN29" s="221"/>
      <c r="DO29" s="221"/>
      <c r="DP29" s="221"/>
      <c r="DQ29" s="221"/>
      <c r="DR29" s="221"/>
      <c r="DS29" s="221"/>
      <c r="DT29" s="221"/>
      <c r="DU29" s="221"/>
      <c r="DV29" s="221"/>
      <c r="DW29" s="221"/>
      <c r="DX29" s="221"/>
      <c r="DY29" s="221"/>
      <c r="DZ29" s="221"/>
      <c r="EA29" s="221"/>
      <c r="EB29" s="221"/>
      <c r="EC29" s="221"/>
      <c r="ED29" s="221"/>
      <c r="EE29" s="221"/>
      <c r="EF29" s="221"/>
      <c r="EG29" s="221"/>
      <c r="EH29" s="221"/>
      <c r="EI29" s="221"/>
      <c r="EJ29" s="221"/>
      <c r="EK29" s="221"/>
      <c r="EL29" s="221"/>
      <c r="EM29" s="221"/>
      <c r="EN29" s="221"/>
      <c r="EO29" s="221"/>
      <c r="EP29" s="221"/>
      <c r="EQ29" s="221"/>
      <c r="ER29" s="221"/>
      <c r="ES29" s="221"/>
      <c r="ET29" s="221"/>
      <c r="EU29" s="221"/>
      <c r="EV29" s="221"/>
      <c r="EW29" s="221"/>
      <c r="EX29" s="221"/>
      <c r="EY29" s="221"/>
      <c r="EZ29" s="221"/>
      <c r="FA29" s="221"/>
      <c r="FB29" s="221"/>
      <c r="FC29" s="221"/>
      <c r="FD29" s="221"/>
      <c r="FE29" s="221"/>
      <c r="FF29" s="221"/>
      <c r="FG29" s="221"/>
      <c r="FH29" s="221"/>
      <c r="FI29" s="221"/>
      <c r="FJ29" s="221"/>
      <c r="FK29" s="221"/>
      <c r="FL29" s="221"/>
      <c r="FM29" s="221"/>
      <c r="FN29" s="221"/>
      <c r="FO29" s="221"/>
      <c r="FP29" s="221"/>
      <c r="FQ29" s="221"/>
      <c r="FR29" s="221"/>
      <c r="FS29" s="221"/>
      <c r="FT29" s="221"/>
      <c r="FU29" s="221"/>
      <c r="FV29" s="221"/>
      <c r="FW29" s="221"/>
      <c r="FX29" s="221"/>
      <c r="FY29" s="221"/>
      <c r="FZ29" s="221"/>
      <c r="GA29" s="221"/>
      <c r="GB29" s="221"/>
      <c r="GC29" s="221"/>
      <c r="GD29" s="221"/>
      <c r="GE29" s="221"/>
      <c r="GF29" s="221"/>
      <c r="GG29" s="221"/>
      <c r="GH29" s="221"/>
      <c r="GI29" s="221"/>
      <c r="GJ29" s="221"/>
      <c r="GK29" s="221"/>
      <c r="GL29" s="221"/>
      <c r="GM29" s="221"/>
      <c r="GN29" s="221"/>
      <c r="GO29" s="221"/>
      <c r="GP29" s="221"/>
      <c r="GQ29" s="221"/>
      <c r="GR29" s="221"/>
      <c r="GS29" s="221"/>
      <c r="GT29" s="221"/>
      <c r="GU29" s="221"/>
      <c r="GV29" s="221"/>
      <c r="GW29" s="221"/>
      <c r="GX29" s="221"/>
      <c r="GY29" s="221"/>
      <c r="GZ29" s="221"/>
      <c r="HA29" s="221"/>
      <c r="HB29" s="221"/>
      <c r="HC29" s="221"/>
      <c r="HD29" s="221"/>
      <c r="HE29" s="221"/>
      <c r="HF29" s="221"/>
      <c r="HG29" s="221"/>
      <c r="HH29" s="221"/>
      <c r="HI29" s="221"/>
      <c r="HJ29" s="221"/>
      <c r="HK29" s="221"/>
      <c r="HL29" s="221"/>
      <c r="HM29" s="221"/>
      <c r="HN29" s="221"/>
      <c r="HO29" s="221"/>
      <c r="HP29" s="221"/>
      <c r="HQ29" s="221"/>
      <c r="HR29" s="221"/>
      <c r="HS29" s="221"/>
      <c r="HT29" s="221"/>
      <c r="HU29" s="221"/>
      <c r="HV29" s="221"/>
      <c r="HW29" s="221"/>
      <c r="HX29" s="221"/>
      <c r="HY29" s="221"/>
      <c r="KF29" s="221"/>
      <c r="KG29" s="221"/>
      <c r="KH29" s="221"/>
      <c r="KI29" s="221"/>
      <c r="KJ29" s="221"/>
      <c r="KK29" s="221"/>
      <c r="KL29" s="221"/>
      <c r="KM29" s="221"/>
      <c r="KN29" s="221"/>
      <c r="KO29" s="221"/>
      <c r="KP29" s="221"/>
      <c r="KQ29" s="221"/>
      <c r="KR29" s="221"/>
      <c r="KS29" s="221"/>
      <c r="KT29" s="221"/>
      <c r="KU29" s="221"/>
      <c r="KV29" s="221"/>
      <c r="KW29" s="221"/>
      <c r="KX29" s="221"/>
      <c r="KY29" s="221"/>
      <c r="KZ29" s="221"/>
      <c r="LA29" s="221"/>
      <c r="LB29" s="221"/>
      <c r="LC29" s="221"/>
      <c r="LD29" s="221"/>
      <c r="LE29" s="221"/>
      <c r="LF29" s="221"/>
      <c r="LG29" s="221"/>
      <c r="LH29" s="221"/>
      <c r="LI29" s="221"/>
      <c r="LJ29" s="221"/>
      <c r="LK29" s="221"/>
      <c r="LL29" s="221"/>
      <c r="LM29" s="221"/>
      <c r="LN29" s="221"/>
      <c r="LO29" s="221"/>
      <c r="LP29" s="221"/>
      <c r="LQ29" s="221"/>
      <c r="LR29" s="221"/>
      <c r="LS29" s="221"/>
      <c r="LT29" s="221"/>
      <c r="LU29" s="221"/>
      <c r="LV29" s="221"/>
      <c r="LW29" s="221"/>
      <c r="LX29" s="221"/>
      <c r="LY29" s="221"/>
      <c r="LZ29" s="221"/>
      <c r="MA29" s="221"/>
      <c r="MB29" s="221"/>
      <c r="MC29" s="221"/>
      <c r="MD29" s="221"/>
      <c r="ME29" s="221"/>
      <c r="MF29" s="221"/>
      <c r="MG29" s="221"/>
      <c r="MH29" s="221"/>
      <c r="MI29" s="221"/>
      <c r="MJ29" s="221"/>
      <c r="MK29" s="221"/>
      <c r="ML29" s="221"/>
      <c r="MM29" s="221"/>
      <c r="MN29" s="221"/>
      <c r="MO29" s="221"/>
      <c r="MP29" s="221"/>
      <c r="MQ29" s="221"/>
      <c r="MR29" s="221"/>
      <c r="MS29" s="221"/>
      <c r="MT29" s="221"/>
      <c r="MU29" s="221"/>
      <c r="MV29" s="221"/>
      <c r="MW29" s="221"/>
      <c r="MX29" s="221"/>
      <c r="MY29" s="221"/>
      <c r="MZ29" s="221"/>
      <c r="NA29" s="221"/>
      <c r="NB29" s="221"/>
      <c r="NC29" s="221"/>
      <c r="ND29" s="221"/>
      <c r="NE29" s="221"/>
      <c r="NF29" s="221"/>
      <c r="NG29" s="221"/>
      <c r="NH29" s="221"/>
      <c r="NI29" s="221"/>
      <c r="NJ29" s="221"/>
      <c r="NK29" s="221"/>
      <c r="NL29" s="221"/>
      <c r="NM29" s="221"/>
      <c r="NN29" s="221"/>
      <c r="NO29" s="221"/>
      <c r="NP29" s="221"/>
      <c r="NQ29" s="221"/>
      <c r="NR29" s="221"/>
      <c r="NS29" s="221"/>
      <c r="NT29" s="221"/>
      <c r="NU29" s="221"/>
      <c r="NV29" s="221"/>
      <c r="NW29" s="221"/>
      <c r="NX29" s="221"/>
      <c r="NY29" s="221"/>
      <c r="NZ29" s="221"/>
      <c r="OA29" s="221"/>
      <c r="OB29" s="221"/>
      <c r="OC29" s="221"/>
      <c r="OD29" s="221"/>
      <c r="OE29" s="221"/>
      <c r="OF29" s="221"/>
      <c r="OG29" s="221"/>
      <c r="OH29" s="221"/>
      <c r="OI29" s="221"/>
      <c r="OJ29" s="221"/>
      <c r="OK29" s="221"/>
      <c r="OL29" s="221"/>
      <c r="OM29" s="221"/>
      <c r="ON29" s="221"/>
      <c r="OO29" s="221"/>
      <c r="OP29" s="221"/>
      <c r="OQ29" s="221"/>
      <c r="OR29" s="221"/>
      <c r="OS29" s="221"/>
      <c r="OT29" s="221"/>
      <c r="OU29" s="221"/>
      <c r="OV29" s="221"/>
      <c r="OW29" s="221"/>
      <c r="OX29" s="221"/>
      <c r="OY29" s="221"/>
      <c r="OZ29" s="221"/>
      <c r="PA29" s="221"/>
      <c r="PB29" s="221"/>
      <c r="PC29" s="221"/>
      <c r="PD29" s="221"/>
      <c r="PE29" s="221"/>
      <c r="PF29" s="221"/>
      <c r="PG29" s="221"/>
      <c r="PH29" s="221"/>
      <c r="PI29" s="221"/>
      <c r="PJ29" s="221"/>
      <c r="PK29" s="221"/>
      <c r="PL29" s="221"/>
      <c r="PM29" s="221"/>
      <c r="PN29" s="221"/>
      <c r="PO29" s="221"/>
      <c r="PP29" s="221"/>
      <c r="PQ29" s="221"/>
      <c r="PR29" s="221"/>
      <c r="PS29" s="221"/>
      <c r="PT29" s="221"/>
      <c r="PU29" s="221"/>
      <c r="PV29" s="221"/>
      <c r="PW29" s="221"/>
      <c r="PX29" s="221"/>
      <c r="PY29" s="221"/>
      <c r="PZ29" s="221"/>
      <c r="QA29" s="221"/>
      <c r="QB29" s="221"/>
      <c r="QC29" s="221"/>
      <c r="QD29" s="221"/>
      <c r="QE29" s="221"/>
      <c r="QF29" s="221"/>
      <c r="QG29" s="221"/>
      <c r="QH29" s="221"/>
      <c r="QI29" s="221"/>
      <c r="QJ29" s="221"/>
      <c r="QK29" s="221"/>
      <c r="QL29" s="221"/>
      <c r="QM29" s="221"/>
      <c r="QN29" s="221"/>
      <c r="QO29" s="221"/>
      <c r="QP29" s="221"/>
      <c r="QQ29" s="221"/>
      <c r="QR29" s="221"/>
      <c r="QS29" s="221"/>
      <c r="QT29" s="221"/>
      <c r="QU29" s="221"/>
      <c r="QV29" s="221"/>
      <c r="QW29" s="221"/>
      <c r="QX29" s="221"/>
      <c r="QY29" s="221"/>
      <c r="QZ29" s="221"/>
      <c r="RA29" s="221"/>
      <c r="RB29" s="221"/>
      <c r="RC29" s="221"/>
      <c r="RD29" s="221"/>
      <c r="RE29" s="221"/>
      <c r="RF29" s="221"/>
      <c r="RG29" s="221"/>
      <c r="RH29" s="221"/>
      <c r="RI29" s="221"/>
      <c r="RJ29" s="221"/>
      <c r="RK29" s="221"/>
      <c r="RL29" s="221"/>
      <c r="RM29" s="221"/>
      <c r="RN29" s="221"/>
      <c r="RO29" s="221"/>
      <c r="RP29" s="221"/>
      <c r="RQ29" s="221"/>
      <c r="RR29" s="221"/>
      <c r="RS29" s="221"/>
      <c r="RT29" s="221"/>
      <c r="RU29" s="221"/>
      <c r="RV29" s="221"/>
      <c r="RW29" s="221"/>
      <c r="RX29" s="221"/>
      <c r="RY29" s="221"/>
      <c r="RZ29" s="221"/>
      <c r="SA29" s="221"/>
      <c r="SB29" s="221"/>
      <c r="SC29" s="221"/>
      <c r="SD29" s="221"/>
      <c r="SE29" s="221"/>
      <c r="SF29" s="221"/>
      <c r="SG29" s="221"/>
      <c r="SH29" s="221"/>
      <c r="SI29" s="221"/>
      <c r="SJ29" s="221"/>
      <c r="SK29" s="221"/>
      <c r="SL29" s="221"/>
      <c r="SM29" s="221"/>
      <c r="SN29" s="221"/>
      <c r="SO29" s="221"/>
      <c r="SP29" s="221"/>
      <c r="SQ29" s="221"/>
      <c r="SR29" s="221"/>
      <c r="SS29" s="221"/>
      <c r="ST29" s="221"/>
      <c r="SU29" s="221"/>
      <c r="SV29" s="221"/>
      <c r="SW29" s="221"/>
      <c r="SX29" s="221"/>
      <c r="SY29" s="221"/>
      <c r="SZ29" s="221"/>
      <c r="TA29" s="221"/>
      <c r="TB29" s="221"/>
      <c r="TC29" s="221"/>
      <c r="TD29" s="221"/>
      <c r="TE29" s="221"/>
      <c r="TF29" s="221"/>
      <c r="TG29" s="221"/>
      <c r="TH29" s="221"/>
      <c r="TI29" s="221"/>
      <c r="TJ29" s="221"/>
      <c r="TK29" s="221"/>
      <c r="TL29" s="221"/>
      <c r="TM29" s="221"/>
      <c r="TN29" s="221"/>
      <c r="TO29" s="221"/>
      <c r="TP29" s="221"/>
      <c r="TQ29" s="221"/>
      <c r="TR29" s="221"/>
      <c r="TS29" s="221"/>
      <c r="TT29" s="221"/>
      <c r="TU29" s="221"/>
      <c r="TV29" s="221"/>
      <c r="TW29" s="221"/>
      <c r="TX29" s="221"/>
      <c r="TY29" s="221"/>
      <c r="TZ29" s="221"/>
      <c r="UA29" s="221"/>
      <c r="UB29" s="221"/>
      <c r="UC29" s="221"/>
      <c r="UD29" s="221"/>
      <c r="UE29" s="221"/>
      <c r="UF29" s="221"/>
      <c r="UG29" s="221"/>
      <c r="UH29" s="221"/>
      <c r="UI29" s="221"/>
      <c r="UJ29" s="221"/>
      <c r="UK29" s="221"/>
      <c r="UL29" s="221"/>
      <c r="UM29" s="221"/>
      <c r="UN29" s="221"/>
      <c r="UO29" s="221"/>
      <c r="UP29" s="221"/>
      <c r="UQ29" s="221"/>
      <c r="UR29" s="221"/>
      <c r="US29" s="221"/>
      <c r="UT29" s="221"/>
      <c r="UU29" s="221"/>
      <c r="UV29" s="221"/>
      <c r="UW29" s="221"/>
      <c r="UX29" s="221"/>
      <c r="UY29" s="221"/>
      <c r="UZ29" s="221"/>
      <c r="VA29" s="221"/>
      <c r="VB29" s="221"/>
      <c r="VC29" s="221"/>
      <c r="VD29" s="221"/>
      <c r="VE29" s="221"/>
      <c r="VF29" s="221"/>
      <c r="VG29" s="221"/>
      <c r="VH29" s="221"/>
      <c r="VI29" s="221"/>
      <c r="VJ29" s="221"/>
      <c r="VK29" s="221"/>
      <c r="VL29" s="221"/>
      <c r="VM29" s="221"/>
      <c r="VN29" s="221"/>
      <c r="VO29" s="221"/>
      <c r="VP29" s="221"/>
      <c r="VQ29" s="221"/>
      <c r="VR29" s="221"/>
      <c r="VS29" s="221"/>
      <c r="VT29" s="221"/>
      <c r="VU29" s="221"/>
      <c r="VV29" s="221"/>
      <c r="VW29" s="221"/>
      <c r="VX29" s="221"/>
      <c r="VY29" s="221"/>
      <c r="VZ29" s="221"/>
      <c r="WA29" s="221"/>
      <c r="WB29" s="221"/>
      <c r="WC29" s="221"/>
      <c r="WD29" s="221"/>
      <c r="WE29" s="221"/>
      <c r="WF29" s="221"/>
      <c r="WG29" s="221"/>
      <c r="WH29" s="221"/>
      <c r="WI29" s="221"/>
      <c r="WJ29" s="221"/>
      <c r="WK29" s="221"/>
      <c r="WL29" s="221"/>
      <c r="WM29" s="221"/>
      <c r="WN29" s="221"/>
      <c r="WO29" s="221"/>
      <c r="WP29" s="221"/>
      <c r="WQ29" s="221"/>
      <c r="WR29" s="221"/>
      <c r="WS29" s="221"/>
      <c r="WT29" s="221"/>
      <c r="WU29" s="221"/>
      <c r="WV29" s="221"/>
      <c r="WW29" s="221"/>
      <c r="WX29" s="221"/>
      <c r="WY29" s="221"/>
      <c r="WZ29" s="221"/>
      <c r="XA29" s="221"/>
      <c r="XB29" s="221"/>
      <c r="XC29" s="221"/>
      <c r="XD29" s="221"/>
      <c r="XE29" s="221"/>
      <c r="XF29" s="221"/>
      <c r="XG29" s="221"/>
      <c r="XH29" s="221"/>
      <c r="XI29" s="221"/>
      <c r="XJ29" s="221"/>
      <c r="XK29" s="221"/>
      <c r="XL29" s="221"/>
      <c r="XM29" s="221"/>
      <c r="XN29" s="221"/>
      <c r="XO29" s="221"/>
      <c r="XP29" s="221"/>
      <c r="XQ29" s="221"/>
      <c r="XR29" s="221"/>
      <c r="XS29" s="221"/>
      <c r="XT29" s="221"/>
      <c r="XU29" s="221"/>
      <c r="XV29" s="221"/>
      <c r="XW29" s="221"/>
      <c r="XX29" s="221"/>
      <c r="XY29" s="221"/>
      <c r="XZ29" s="221"/>
      <c r="YA29" s="221"/>
      <c r="YB29" s="221"/>
      <c r="YC29" s="221"/>
      <c r="YD29" s="221"/>
      <c r="YE29" s="221"/>
      <c r="YF29" s="221"/>
      <c r="YG29" s="221"/>
      <c r="YH29" s="221"/>
      <c r="YI29" s="221"/>
      <c r="YJ29" s="221"/>
      <c r="YK29" s="221"/>
      <c r="YL29" s="221"/>
      <c r="YM29" s="221"/>
      <c r="YN29" s="221"/>
      <c r="YO29" s="221"/>
      <c r="YP29" s="221"/>
      <c r="YQ29" s="221"/>
      <c r="YR29" s="221"/>
      <c r="YS29" s="221"/>
      <c r="YT29" s="221"/>
      <c r="YU29" s="221"/>
      <c r="YV29" s="221"/>
      <c r="YW29" s="221"/>
      <c r="YX29" s="221"/>
      <c r="YY29" s="221"/>
      <c r="YZ29" s="221"/>
      <c r="ZA29" s="221"/>
      <c r="ZB29" s="221"/>
      <c r="ZC29" s="221"/>
      <c r="ZD29" s="221"/>
      <c r="ZE29" s="221"/>
      <c r="ZF29" s="221"/>
      <c r="ZG29" s="221"/>
      <c r="ZH29" s="221"/>
      <c r="ZI29" s="221"/>
      <c r="ZJ29" s="221"/>
      <c r="ZK29" s="221"/>
      <c r="ZL29" s="221"/>
      <c r="ZM29" s="221"/>
      <c r="ZN29" s="221"/>
      <c r="ZO29" s="221"/>
      <c r="ZP29" s="221"/>
      <c r="ZQ29" s="221"/>
      <c r="ZR29" s="221"/>
      <c r="ZS29" s="221"/>
      <c r="ZT29" s="221"/>
      <c r="ZU29" s="221"/>
      <c r="ZV29" s="221"/>
      <c r="ZW29" s="221"/>
      <c r="ZX29" s="221"/>
      <c r="ZY29" s="221"/>
      <c r="ZZ29" s="221"/>
      <c r="AAA29" s="221"/>
      <c r="AAB29" s="221"/>
      <c r="AAC29" s="221"/>
      <c r="AAD29" s="221"/>
      <c r="AAE29" s="221"/>
      <c r="AAF29" s="221"/>
      <c r="AAG29" s="221"/>
      <c r="AAH29" s="221"/>
      <c r="AAI29" s="221"/>
      <c r="AAJ29" s="221"/>
      <c r="AAK29" s="221"/>
      <c r="AAL29" s="221"/>
      <c r="AAM29" s="221"/>
      <c r="AAN29" s="221"/>
      <c r="AAO29" s="221"/>
      <c r="AAP29" s="221"/>
      <c r="AAQ29" s="221"/>
      <c r="AAR29" s="221"/>
      <c r="AAS29" s="221"/>
      <c r="AAT29" s="221"/>
      <c r="AAU29" s="221"/>
      <c r="AAV29" s="221"/>
      <c r="AAW29" s="221"/>
      <c r="AAX29" s="221"/>
      <c r="AAY29" s="221"/>
      <c r="AAZ29" s="221"/>
      <c r="ABA29" s="221"/>
      <c r="ABB29" s="221"/>
      <c r="ABC29" s="221"/>
      <c r="ABD29" s="221"/>
      <c r="ABE29" s="221"/>
      <c r="ABF29" s="221"/>
      <c r="ABG29" s="221"/>
      <c r="ABH29" s="221"/>
      <c r="ABI29" s="221"/>
      <c r="ABJ29" s="221"/>
      <c r="ABK29" s="221"/>
      <c r="ABL29" s="221"/>
      <c r="ABM29" s="221"/>
      <c r="ABN29" s="221"/>
      <c r="ABO29" s="221"/>
      <c r="ABP29" s="221"/>
      <c r="ABQ29" s="221"/>
      <c r="ABR29" s="221"/>
      <c r="ABS29" s="221"/>
      <c r="ABT29" s="221"/>
      <c r="ABU29" s="221"/>
      <c r="ABV29" s="221"/>
      <c r="ABW29" s="221"/>
      <c r="ABX29" s="221"/>
      <c r="ABY29" s="221"/>
      <c r="ABZ29" s="221"/>
      <c r="ACA29" s="221"/>
      <c r="ACB29" s="221"/>
      <c r="ACC29" s="221"/>
      <c r="ACD29" s="221"/>
      <c r="ACE29" s="221"/>
      <c r="ACF29" s="221"/>
      <c r="ACG29" s="221"/>
      <c r="ACH29" s="221"/>
      <c r="ACI29" s="221"/>
      <c r="ACJ29" s="221"/>
      <c r="ACK29" s="221"/>
      <c r="ACL29" s="221"/>
      <c r="ACM29" s="221"/>
      <c r="ACN29" s="221"/>
      <c r="ACO29" s="221"/>
      <c r="ACP29" s="221"/>
      <c r="ACQ29" s="221"/>
      <c r="ACR29" s="221"/>
      <c r="ACS29" s="221"/>
      <c r="ACT29" s="221"/>
      <c r="ACU29" s="221"/>
      <c r="ACV29" s="221"/>
      <c r="ACW29" s="221"/>
      <c r="ACX29" s="221"/>
      <c r="ACY29" s="221"/>
      <c r="ACZ29" s="221"/>
      <c r="ADA29" s="221"/>
      <c r="ADB29" s="221"/>
      <c r="ADC29" s="221"/>
      <c r="ADD29" s="221"/>
      <c r="ADE29" s="221"/>
      <c r="ADF29" s="221"/>
      <c r="ADG29" s="221"/>
      <c r="ADH29" s="221"/>
      <c r="ADI29" s="221"/>
      <c r="ADJ29" s="221"/>
      <c r="ADK29" s="221"/>
      <c r="ADL29" s="221"/>
      <c r="ADM29" s="221"/>
      <c r="ADN29" s="221"/>
      <c r="ADO29" s="221"/>
      <c r="ADP29" s="221"/>
      <c r="ADQ29" s="221"/>
      <c r="ADR29" s="221"/>
      <c r="ADS29" s="221"/>
      <c r="ADT29" s="221"/>
      <c r="ADU29" s="221"/>
      <c r="ADV29" s="221"/>
      <c r="ADW29" s="221"/>
      <c r="ADX29" s="221"/>
      <c r="ADY29" s="221"/>
      <c r="ADZ29" s="221"/>
      <c r="AEA29" s="221"/>
      <c r="AEB29" s="221"/>
      <c r="AEC29" s="221"/>
      <c r="AED29" s="221"/>
      <c r="AEE29" s="221"/>
      <c r="AEF29" s="221"/>
      <c r="AEG29" s="221"/>
      <c r="AEH29" s="221"/>
      <c r="AEI29" s="221"/>
      <c r="AEJ29" s="221"/>
      <c r="AEK29" s="221"/>
      <c r="AEL29" s="221"/>
      <c r="AEM29" s="221"/>
      <c r="AEN29" s="221"/>
      <c r="AEO29" s="221"/>
      <c r="AEP29" s="221"/>
      <c r="AEQ29" s="221"/>
      <c r="AER29" s="221"/>
      <c r="AES29" s="221"/>
      <c r="AET29" s="221"/>
      <c r="AEU29" s="221"/>
      <c r="AEV29" s="221"/>
      <c r="AEW29" s="221"/>
      <c r="AEX29" s="221"/>
      <c r="AEY29" s="221"/>
      <c r="AEZ29" s="221"/>
      <c r="AFA29" s="221"/>
      <c r="AFB29" s="221"/>
      <c r="AFC29" s="221"/>
      <c r="AFD29" s="221"/>
      <c r="AFE29" s="221"/>
      <c r="AFF29" s="221"/>
      <c r="AFG29" s="221"/>
      <c r="AFH29" s="221"/>
      <c r="AFI29" s="221"/>
      <c r="AFJ29" s="221"/>
      <c r="AFK29" s="221"/>
      <c r="AFL29" s="221"/>
      <c r="AFM29" s="221"/>
      <c r="AFN29" s="221"/>
      <c r="AFO29" s="221"/>
      <c r="AFP29" s="221"/>
      <c r="AFQ29" s="221"/>
      <c r="AFR29" s="221"/>
      <c r="AFS29" s="221"/>
      <c r="AFT29" s="221"/>
      <c r="AFU29" s="221"/>
      <c r="AFV29" s="221"/>
      <c r="AFW29" s="221"/>
      <c r="AFX29" s="221"/>
      <c r="AFY29" s="221"/>
      <c r="AFZ29" s="221"/>
      <c r="AGA29" s="221"/>
      <c r="AGB29" s="221"/>
      <c r="AGC29" s="221"/>
      <c r="AGD29" s="221"/>
      <c r="AGE29" s="221"/>
      <c r="AGF29" s="221"/>
      <c r="AGG29" s="221"/>
      <c r="AGH29" s="221"/>
      <c r="AGI29" s="221"/>
      <c r="AGJ29" s="221"/>
      <c r="AGK29" s="221"/>
      <c r="AGL29" s="221"/>
      <c r="AGM29" s="221"/>
      <c r="AGN29" s="221"/>
      <c r="AGO29" s="221"/>
      <c r="AGP29" s="221"/>
      <c r="AGQ29" s="221"/>
      <c r="AGR29" s="221"/>
      <c r="AGS29" s="221"/>
      <c r="AGT29" s="221"/>
      <c r="AGU29" s="221"/>
      <c r="AGV29" s="221"/>
      <c r="AGW29" s="221"/>
      <c r="AGX29" s="221"/>
      <c r="AGY29" s="221"/>
      <c r="AGZ29" s="221"/>
      <c r="AHA29" s="221"/>
      <c r="AHB29" s="221"/>
      <c r="AHC29" s="221"/>
      <c r="AHD29" s="221"/>
      <c r="AHE29" s="221"/>
      <c r="AHF29" s="221"/>
      <c r="AHG29" s="221"/>
      <c r="AHH29" s="221"/>
      <c r="AHI29" s="221"/>
      <c r="AHJ29" s="221"/>
      <c r="AHK29" s="221"/>
      <c r="AHL29" s="221"/>
      <c r="AHM29" s="221"/>
      <c r="AHN29" s="221"/>
      <c r="AHO29" s="221"/>
      <c r="AHP29" s="221"/>
      <c r="AHQ29" s="221"/>
      <c r="AHR29" s="221"/>
      <c r="AHS29" s="221"/>
      <c r="AHT29" s="221"/>
      <c r="AHU29" s="221"/>
      <c r="AHV29" s="221"/>
      <c r="AHW29" s="221"/>
      <c r="AHX29" s="221"/>
      <c r="AHY29" s="221"/>
      <c r="AHZ29" s="221"/>
      <c r="AIA29" s="221"/>
    </row>
    <row r="30" spans="1:911" ht="15" customHeight="1" x14ac:dyDescent="0.2">
      <c r="A30" s="13">
        <v>18</v>
      </c>
      <c r="B30" s="16"/>
      <c r="C30" s="27" t="s">
        <v>40</v>
      </c>
      <c r="D30" s="16" t="s">
        <v>38</v>
      </c>
      <c r="E30" s="19">
        <f t="shared" si="3"/>
        <v>292.7</v>
      </c>
      <c r="F30" s="19">
        <f t="shared" si="4"/>
        <v>292.7</v>
      </c>
      <c r="G30" s="20">
        <f>288.5+0.2</f>
        <v>288.7</v>
      </c>
      <c r="H30" s="20">
        <v>288.7</v>
      </c>
      <c r="I30" s="20">
        <f>203.5+0.2</f>
        <v>203.7</v>
      </c>
      <c r="J30" s="20">
        <v>203.7</v>
      </c>
      <c r="K30" s="20">
        <v>4</v>
      </c>
      <c r="L30" s="22">
        <f t="shared" si="1"/>
        <v>0</v>
      </c>
      <c r="M30" s="22"/>
      <c r="N30" s="22"/>
      <c r="P30" s="23">
        <f t="shared" si="2"/>
        <v>0</v>
      </c>
      <c r="Q30" s="23"/>
      <c r="S30" s="37"/>
      <c r="X30" s="17">
        <v>4</v>
      </c>
    </row>
    <row r="31" spans="1:911" ht="15" customHeight="1" x14ac:dyDescent="0.2">
      <c r="A31" s="13">
        <v>19</v>
      </c>
      <c r="B31" s="16"/>
      <c r="C31" s="27" t="s">
        <v>41</v>
      </c>
      <c r="D31" s="16" t="s">
        <v>38</v>
      </c>
      <c r="E31" s="19">
        <f t="shared" si="3"/>
        <v>211.6</v>
      </c>
      <c r="F31" s="19">
        <f t="shared" si="4"/>
        <v>211.6</v>
      </c>
      <c r="G31" s="20">
        <f>207.3+0.7+3.6</f>
        <v>211.6</v>
      </c>
      <c r="H31" s="20">
        <v>211.6</v>
      </c>
      <c r="I31" s="20">
        <f>149.1+3.5+7</f>
        <v>159.6</v>
      </c>
      <c r="J31" s="20">
        <v>159.6</v>
      </c>
      <c r="K31" s="20"/>
      <c r="L31" s="22">
        <f t="shared" si="1"/>
        <v>0</v>
      </c>
      <c r="M31" s="22"/>
      <c r="N31" s="22">
        <v>7</v>
      </c>
      <c r="P31" s="23">
        <f t="shared" si="2"/>
        <v>0</v>
      </c>
      <c r="Q31" s="23"/>
      <c r="X31" s="24"/>
    </row>
    <row r="32" spans="1:911" ht="15" customHeight="1" x14ac:dyDescent="0.2">
      <c r="A32" s="25">
        <v>20</v>
      </c>
      <c r="B32" s="26"/>
      <c r="C32" s="27" t="s">
        <v>42</v>
      </c>
      <c r="D32" s="26" t="s">
        <v>38</v>
      </c>
      <c r="E32" s="19">
        <f t="shared" si="3"/>
        <v>538.70000000000005</v>
      </c>
      <c r="F32" s="19">
        <f t="shared" si="4"/>
        <v>538.70000000000005</v>
      </c>
      <c r="G32" s="20">
        <f>527.7+1+8.8+1.2</f>
        <v>538.70000000000005</v>
      </c>
      <c r="H32" s="20">
        <v>538.70000000000005</v>
      </c>
      <c r="I32" s="20">
        <f>409+8.7+1.2</f>
        <v>418.9</v>
      </c>
      <c r="J32" s="20">
        <v>418.9</v>
      </c>
      <c r="K32" s="20"/>
      <c r="L32" s="22">
        <f t="shared" si="1"/>
        <v>0</v>
      </c>
      <c r="M32" s="22"/>
      <c r="N32" s="22"/>
      <c r="P32" s="23">
        <f t="shared" si="2"/>
        <v>0</v>
      </c>
      <c r="Q32" s="23"/>
      <c r="X32" s="24"/>
    </row>
    <row r="33" spans="1:24" ht="15" customHeight="1" x14ac:dyDescent="0.2">
      <c r="A33" s="13">
        <v>21</v>
      </c>
      <c r="B33" s="16"/>
      <c r="C33" s="27" t="s">
        <v>43</v>
      </c>
      <c r="D33" s="16" t="s">
        <v>38</v>
      </c>
      <c r="E33" s="19">
        <f t="shared" si="3"/>
        <v>131.79999999999998</v>
      </c>
      <c r="F33" s="19">
        <f t="shared" si="4"/>
        <v>131.80000000000001</v>
      </c>
      <c r="G33" s="20">
        <f>128.1+1.2+2.5</f>
        <v>131.79999999999998</v>
      </c>
      <c r="H33" s="32">
        <v>131.80000000000001</v>
      </c>
      <c r="I33" s="20">
        <f>97.2+2.5-1</f>
        <v>98.7</v>
      </c>
      <c r="J33" s="20">
        <v>98.7</v>
      </c>
      <c r="K33" s="20"/>
      <c r="L33" s="22">
        <f t="shared" si="1"/>
        <v>0</v>
      </c>
      <c r="M33" s="22"/>
      <c r="N33" s="22">
        <v>-1</v>
      </c>
      <c r="P33" s="23">
        <f t="shared" si="2"/>
        <v>0</v>
      </c>
      <c r="Q33" s="23"/>
      <c r="X33" s="24"/>
    </row>
    <row r="34" spans="1:24" ht="24" customHeight="1" x14ac:dyDescent="0.2">
      <c r="A34" s="13">
        <v>22</v>
      </c>
      <c r="B34" s="16"/>
      <c r="C34" s="27" t="s">
        <v>44</v>
      </c>
      <c r="D34" s="16" t="s">
        <v>38</v>
      </c>
      <c r="E34" s="19">
        <f t="shared" si="3"/>
        <v>163</v>
      </c>
      <c r="F34" s="19">
        <f t="shared" si="4"/>
        <v>162.9</v>
      </c>
      <c r="G34" s="20">
        <f>160+0.6+2.4</f>
        <v>163</v>
      </c>
      <c r="H34" s="20">
        <v>162.9</v>
      </c>
      <c r="I34" s="20">
        <f>131.7+2.4+2</f>
        <v>136.1</v>
      </c>
      <c r="J34" s="20">
        <v>136.1</v>
      </c>
      <c r="K34" s="20"/>
      <c r="L34" s="22">
        <f t="shared" si="1"/>
        <v>0</v>
      </c>
      <c r="M34" s="22"/>
      <c r="N34" s="22">
        <v>2</v>
      </c>
      <c r="P34" s="23">
        <f t="shared" si="2"/>
        <v>0</v>
      </c>
      <c r="Q34" s="23"/>
      <c r="X34" s="24"/>
    </row>
    <row r="35" spans="1:24" ht="15" customHeight="1" x14ac:dyDescent="0.2">
      <c r="A35" s="13">
        <v>23</v>
      </c>
      <c r="B35" s="16"/>
      <c r="C35" s="27" t="s">
        <v>45</v>
      </c>
      <c r="D35" s="16" t="s">
        <v>38</v>
      </c>
      <c r="E35" s="19">
        <f t="shared" si="3"/>
        <v>159.69999999999999</v>
      </c>
      <c r="F35" s="19">
        <f t="shared" si="4"/>
        <v>157.1</v>
      </c>
      <c r="G35" s="20">
        <f>151.2+1.6+4.4+2.5</f>
        <v>159.69999999999999</v>
      </c>
      <c r="H35" s="20">
        <v>157.1</v>
      </c>
      <c r="I35" s="20">
        <f>115.9+4.3+1+2.5</f>
        <v>123.7</v>
      </c>
      <c r="J35" s="20">
        <v>121.2</v>
      </c>
      <c r="K35" s="20"/>
      <c r="L35" s="22">
        <f t="shared" si="1"/>
        <v>0</v>
      </c>
      <c r="M35" s="22"/>
      <c r="N35" s="22">
        <v>1</v>
      </c>
      <c r="P35" s="23">
        <f t="shared" si="2"/>
        <v>2.5</v>
      </c>
      <c r="Q35" s="23">
        <v>2.5</v>
      </c>
      <c r="V35" s="3">
        <v>2.5</v>
      </c>
      <c r="X35" s="24"/>
    </row>
    <row r="36" spans="1:24" ht="37.15" customHeight="1" x14ac:dyDescent="0.2">
      <c r="A36" s="13">
        <v>24</v>
      </c>
      <c r="B36" s="16"/>
      <c r="C36" s="27" t="s">
        <v>46</v>
      </c>
      <c r="D36" s="18" t="s">
        <v>47</v>
      </c>
      <c r="E36" s="19">
        <f t="shared" si="3"/>
        <v>317.7</v>
      </c>
      <c r="F36" s="19">
        <f t="shared" si="4"/>
        <v>317.7</v>
      </c>
      <c r="G36" s="20">
        <f>316.4+1.3</f>
        <v>317.7</v>
      </c>
      <c r="H36" s="20">
        <v>317.7</v>
      </c>
      <c r="I36" s="20">
        <f>225.5+1.3+10.9</f>
        <v>237.70000000000002</v>
      </c>
      <c r="J36" s="20">
        <v>237.7</v>
      </c>
      <c r="K36" s="20"/>
      <c r="L36" s="22">
        <f t="shared" si="1"/>
        <v>0</v>
      </c>
      <c r="M36" s="22"/>
      <c r="N36" s="22">
        <v>10.9</v>
      </c>
      <c r="P36" s="23">
        <f t="shared" si="2"/>
        <v>0</v>
      </c>
      <c r="Q36" s="23"/>
      <c r="X36" s="24"/>
    </row>
    <row r="37" spans="1:24" x14ac:dyDescent="0.2">
      <c r="A37" s="25">
        <v>25</v>
      </c>
      <c r="B37" s="26"/>
      <c r="C37" s="27" t="s">
        <v>48</v>
      </c>
      <c r="D37" s="38" t="s">
        <v>38</v>
      </c>
      <c r="E37" s="19">
        <f t="shared" si="3"/>
        <v>10.9</v>
      </c>
      <c r="F37" s="19">
        <f t="shared" si="4"/>
        <v>10.9</v>
      </c>
      <c r="G37" s="20">
        <f>0.8+0.1+10</f>
        <v>10.9</v>
      </c>
      <c r="H37" s="20">
        <v>10.9</v>
      </c>
      <c r="I37" s="20">
        <f>0.8+0.1</f>
        <v>0.9</v>
      </c>
      <c r="J37" s="20">
        <v>0.9</v>
      </c>
      <c r="K37" s="20"/>
      <c r="L37" s="22">
        <f t="shared" si="1"/>
        <v>10</v>
      </c>
      <c r="M37" s="22">
        <v>10</v>
      </c>
      <c r="N37" s="22"/>
      <c r="P37" s="23">
        <f t="shared" si="2"/>
        <v>0</v>
      </c>
      <c r="Q37" s="23"/>
      <c r="X37" s="24"/>
    </row>
    <row r="38" spans="1:24" ht="15" customHeight="1" x14ac:dyDescent="0.2">
      <c r="A38" s="260">
        <v>26</v>
      </c>
      <c r="B38" s="262"/>
      <c r="C38" s="17" t="s">
        <v>49</v>
      </c>
      <c r="D38" s="262" t="s">
        <v>50</v>
      </c>
      <c r="E38" s="19">
        <f t="shared" si="3"/>
        <v>158.79999999999998</v>
      </c>
      <c r="F38" s="19">
        <f t="shared" si="4"/>
        <v>158.80000000000001</v>
      </c>
      <c r="G38" s="20">
        <f>155.7+2.6+0.5</f>
        <v>158.79999999999998</v>
      </c>
      <c r="H38" s="20">
        <v>158.80000000000001</v>
      </c>
      <c r="I38" s="20">
        <f>153.5+2.6+0.5</f>
        <v>156.6</v>
      </c>
      <c r="J38" s="20">
        <v>156.6</v>
      </c>
      <c r="K38" s="20"/>
      <c r="L38" s="22">
        <f t="shared" si="1"/>
        <v>0</v>
      </c>
      <c r="M38" s="22"/>
      <c r="N38" s="22"/>
      <c r="P38" s="23">
        <f t="shared" si="2"/>
        <v>0</v>
      </c>
      <c r="Q38" s="23"/>
      <c r="X38" s="24"/>
    </row>
    <row r="39" spans="1:24" ht="38.25" x14ac:dyDescent="0.2">
      <c r="A39" s="261"/>
      <c r="B39" s="263"/>
      <c r="C39" s="27" t="s">
        <v>51</v>
      </c>
      <c r="D39" s="263"/>
      <c r="E39" s="19">
        <f t="shared" si="3"/>
        <v>3.1</v>
      </c>
      <c r="F39" s="19">
        <f t="shared" si="4"/>
        <v>3.1</v>
      </c>
      <c r="G39" s="20">
        <f>2.6+0.5</f>
        <v>3.1</v>
      </c>
      <c r="H39" s="20">
        <v>3.1</v>
      </c>
      <c r="I39" s="20">
        <f>2.6+0.5</f>
        <v>3.1</v>
      </c>
      <c r="J39" s="20">
        <v>3.1</v>
      </c>
      <c r="K39" s="20"/>
      <c r="L39" s="22">
        <f t="shared" si="1"/>
        <v>0</v>
      </c>
      <c r="M39" s="22"/>
      <c r="N39" s="22"/>
      <c r="P39" s="23">
        <f t="shared" si="2"/>
        <v>0</v>
      </c>
      <c r="Q39" s="23"/>
      <c r="X39" s="24"/>
    </row>
    <row r="40" spans="1:24" ht="15" customHeight="1" x14ac:dyDescent="0.2">
      <c r="A40" s="260">
        <v>27</v>
      </c>
      <c r="B40" s="262"/>
      <c r="C40" s="17" t="s">
        <v>52</v>
      </c>
      <c r="D40" s="262" t="s">
        <v>50</v>
      </c>
      <c r="E40" s="19">
        <f t="shared" si="3"/>
        <v>250.4</v>
      </c>
      <c r="F40" s="19">
        <f t="shared" si="4"/>
        <v>245.4</v>
      </c>
      <c r="G40" s="20">
        <f>246+3.5+0.9</f>
        <v>250.4</v>
      </c>
      <c r="H40" s="20">
        <v>245.4</v>
      </c>
      <c r="I40" s="20">
        <f>242.5+3.4+0.9-2.3</f>
        <v>244.5</v>
      </c>
      <c r="J40" s="20">
        <v>239.6</v>
      </c>
      <c r="K40" s="20"/>
      <c r="L40" s="22">
        <f t="shared" si="1"/>
        <v>0</v>
      </c>
      <c r="M40" s="22"/>
      <c r="N40" s="22">
        <v>-2.2999999999999998</v>
      </c>
      <c r="P40" s="23">
        <f t="shared" si="2"/>
        <v>0</v>
      </c>
      <c r="Q40" s="23"/>
      <c r="X40" s="24"/>
    </row>
    <row r="41" spans="1:24" ht="38.25" x14ac:dyDescent="0.2">
      <c r="A41" s="261"/>
      <c r="B41" s="263"/>
      <c r="C41" s="27" t="s">
        <v>51</v>
      </c>
      <c r="D41" s="263"/>
      <c r="E41" s="19">
        <f t="shared" si="3"/>
        <v>4.4000000000000004</v>
      </c>
      <c r="F41" s="19">
        <f t="shared" si="4"/>
        <v>4.4000000000000004</v>
      </c>
      <c r="G41" s="20">
        <f>3.5+0.9</f>
        <v>4.4000000000000004</v>
      </c>
      <c r="H41" s="20">
        <v>4.4000000000000004</v>
      </c>
      <c r="I41" s="20">
        <f>3.4+0.9</f>
        <v>4.3</v>
      </c>
      <c r="J41" s="20">
        <v>4.3</v>
      </c>
      <c r="K41" s="20"/>
      <c r="L41" s="22">
        <f t="shared" si="1"/>
        <v>0</v>
      </c>
      <c r="M41" s="22"/>
      <c r="N41" s="22"/>
      <c r="P41" s="23">
        <f t="shared" si="2"/>
        <v>0</v>
      </c>
      <c r="Q41" s="23"/>
      <c r="X41" s="24"/>
    </row>
    <row r="42" spans="1:24" ht="15" customHeight="1" x14ac:dyDescent="0.2">
      <c r="A42" s="260">
        <v>28</v>
      </c>
      <c r="B42" s="262"/>
      <c r="C42" s="17" t="s">
        <v>53</v>
      </c>
      <c r="D42" s="262" t="s">
        <v>50</v>
      </c>
      <c r="E42" s="19">
        <f t="shared" si="3"/>
        <v>690.1</v>
      </c>
      <c r="F42" s="19">
        <f t="shared" si="4"/>
        <v>690.1</v>
      </c>
      <c r="G42" s="20">
        <f>671.4+15.5+3.2</f>
        <v>690.1</v>
      </c>
      <c r="H42" s="20">
        <v>690.1</v>
      </c>
      <c r="I42" s="20">
        <f>661.8+15.3+3.1-3.1</f>
        <v>677.09999999999991</v>
      </c>
      <c r="J42" s="20">
        <v>677.1</v>
      </c>
      <c r="K42" s="20"/>
      <c r="L42" s="22">
        <f t="shared" si="1"/>
        <v>0</v>
      </c>
      <c r="M42" s="22"/>
      <c r="N42" s="22">
        <v>-3.1</v>
      </c>
      <c r="P42" s="23">
        <f t="shared" si="2"/>
        <v>0</v>
      </c>
      <c r="Q42" s="23"/>
      <c r="X42" s="24"/>
    </row>
    <row r="43" spans="1:24" ht="38.25" x14ac:dyDescent="0.2">
      <c r="A43" s="261"/>
      <c r="B43" s="263"/>
      <c r="C43" s="27" t="s">
        <v>51</v>
      </c>
      <c r="D43" s="263"/>
      <c r="E43" s="19">
        <f t="shared" si="3"/>
        <v>18.7</v>
      </c>
      <c r="F43" s="19">
        <f t="shared" si="4"/>
        <v>18.7</v>
      </c>
      <c r="G43" s="20">
        <f>15.5+3.2</f>
        <v>18.7</v>
      </c>
      <c r="H43" s="20">
        <v>18.7</v>
      </c>
      <c r="I43" s="20">
        <f>15.3+3.1</f>
        <v>18.400000000000002</v>
      </c>
      <c r="J43" s="20">
        <v>18.399999999999999</v>
      </c>
      <c r="K43" s="20"/>
      <c r="L43" s="22">
        <f t="shared" si="1"/>
        <v>0</v>
      </c>
      <c r="M43" s="22"/>
      <c r="N43" s="22"/>
      <c r="P43" s="23">
        <f t="shared" si="2"/>
        <v>0</v>
      </c>
      <c r="Q43" s="23"/>
      <c r="X43" s="24"/>
    </row>
    <row r="44" spans="1:24" ht="15" customHeight="1" x14ac:dyDescent="0.2">
      <c r="A44" s="260">
        <v>29</v>
      </c>
      <c r="B44" s="262"/>
      <c r="C44" s="17" t="s">
        <v>54</v>
      </c>
      <c r="D44" s="262" t="s">
        <v>50</v>
      </c>
      <c r="E44" s="19">
        <f t="shared" si="3"/>
        <v>555.19999999999993</v>
      </c>
      <c r="F44" s="19">
        <f t="shared" si="4"/>
        <v>554.79999999999995</v>
      </c>
      <c r="G44" s="20">
        <f>541.3+4.8+3.4+1+1+3.7</f>
        <v>555.19999999999993</v>
      </c>
      <c r="H44" s="20">
        <v>554.79999999999995</v>
      </c>
      <c r="I44" s="20">
        <f>370.5+4.7+3.4+1+3.6</f>
        <v>383.2</v>
      </c>
      <c r="J44" s="20">
        <v>383.2</v>
      </c>
      <c r="K44" s="20"/>
      <c r="L44" s="22">
        <f t="shared" si="1"/>
        <v>3.7</v>
      </c>
      <c r="M44" s="22">
        <v>3.7</v>
      </c>
      <c r="N44" s="22">
        <v>3.6</v>
      </c>
      <c r="P44" s="23">
        <f t="shared" si="2"/>
        <v>0</v>
      </c>
      <c r="Q44" s="23"/>
      <c r="X44" s="24"/>
    </row>
    <row r="45" spans="1:24" ht="38.25" x14ac:dyDescent="0.2">
      <c r="A45" s="261"/>
      <c r="B45" s="263"/>
      <c r="C45" s="27" t="s">
        <v>51</v>
      </c>
      <c r="D45" s="263"/>
      <c r="E45" s="19">
        <f t="shared" si="3"/>
        <v>5.8</v>
      </c>
      <c r="F45" s="19">
        <f t="shared" si="4"/>
        <v>5.8</v>
      </c>
      <c r="G45" s="20">
        <f>4.8+1</f>
        <v>5.8</v>
      </c>
      <c r="H45" s="20">
        <v>5.8</v>
      </c>
      <c r="I45" s="20">
        <f>4.7+1</f>
        <v>5.7</v>
      </c>
      <c r="J45" s="20">
        <v>5.7</v>
      </c>
      <c r="K45" s="20"/>
      <c r="L45" s="22">
        <f t="shared" si="1"/>
        <v>0</v>
      </c>
      <c r="M45" s="22"/>
      <c r="N45" s="22"/>
      <c r="P45" s="23">
        <f t="shared" si="2"/>
        <v>0</v>
      </c>
      <c r="Q45" s="23"/>
      <c r="X45" s="24"/>
    </row>
    <row r="46" spans="1:24" ht="25.15" customHeight="1" x14ac:dyDescent="0.2">
      <c r="A46" s="13">
        <v>30</v>
      </c>
      <c r="B46" s="16"/>
      <c r="C46" s="17" t="s">
        <v>55</v>
      </c>
      <c r="D46" s="18" t="s">
        <v>56</v>
      </c>
      <c r="E46" s="19">
        <f t="shared" si="3"/>
        <v>119.7</v>
      </c>
      <c r="F46" s="19">
        <f t="shared" si="4"/>
        <v>119.6</v>
      </c>
      <c r="G46" s="20">
        <v>119.7</v>
      </c>
      <c r="H46" s="20">
        <v>119.6</v>
      </c>
      <c r="I46" s="20">
        <f>98.1+3</f>
        <v>101.1</v>
      </c>
      <c r="J46" s="20">
        <v>101.1</v>
      </c>
      <c r="K46" s="20"/>
      <c r="L46" s="22">
        <f t="shared" si="1"/>
        <v>0</v>
      </c>
      <c r="M46" s="22"/>
      <c r="N46" s="22">
        <v>3</v>
      </c>
      <c r="P46" s="23">
        <f t="shared" si="2"/>
        <v>0</v>
      </c>
      <c r="Q46" s="23"/>
      <c r="X46" s="24"/>
    </row>
    <row r="47" spans="1:24" ht="15" customHeight="1" x14ac:dyDescent="0.2">
      <c r="A47" s="13">
        <v>31</v>
      </c>
      <c r="B47" s="16"/>
      <c r="C47" s="39" t="s">
        <v>57</v>
      </c>
      <c r="D47" s="16" t="s">
        <v>21</v>
      </c>
      <c r="E47" s="19">
        <f t="shared" si="3"/>
        <v>105.8</v>
      </c>
      <c r="F47" s="19">
        <f t="shared" si="4"/>
        <v>105.7</v>
      </c>
      <c r="G47" s="20">
        <v>105.8</v>
      </c>
      <c r="H47" s="20">
        <v>105.7</v>
      </c>
      <c r="I47" s="20">
        <f>80.6+1.6</f>
        <v>82.199999999999989</v>
      </c>
      <c r="J47" s="20">
        <v>82.2</v>
      </c>
      <c r="K47" s="20"/>
      <c r="L47" s="22">
        <f t="shared" si="1"/>
        <v>0</v>
      </c>
      <c r="M47" s="22"/>
      <c r="N47" s="22">
        <v>1.6</v>
      </c>
      <c r="P47" s="23">
        <f t="shared" si="2"/>
        <v>0</v>
      </c>
      <c r="Q47" s="23"/>
      <c r="X47" s="24"/>
    </row>
    <row r="48" spans="1:24" ht="15" customHeight="1" x14ac:dyDescent="0.2">
      <c r="A48" s="13">
        <v>32</v>
      </c>
      <c r="B48" s="16"/>
      <c r="C48" s="39" t="s">
        <v>58</v>
      </c>
      <c r="D48" s="16" t="s">
        <v>21</v>
      </c>
      <c r="E48" s="19">
        <f t="shared" si="3"/>
        <v>103.5</v>
      </c>
      <c r="F48" s="19">
        <f t="shared" si="4"/>
        <v>103.3</v>
      </c>
      <c r="G48" s="20">
        <f>103+0.5</f>
        <v>103.5</v>
      </c>
      <c r="H48" s="20">
        <v>103.3</v>
      </c>
      <c r="I48" s="20">
        <f>81+0.5</f>
        <v>81.5</v>
      </c>
      <c r="J48" s="20">
        <v>81.5</v>
      </c>
      <c r="K48" s="20"/>
      <c r="L48" s="22">
        <f t="shared" si="1"/>
        <v>0</v>
      </c>
      <c r="M48" s="22"/>
      <c r="N48" s="22"/>
      <c r="P48" s="23">
        <f t="shared" si="2"/>
        <v>0</v>
      </c>
      <c r="Q48" s="23"/>
      <c r="X48" s="24"/>
    </row>
    <row r="49" spans="1:24" ht="15" customHeight="1" x14ac:dyDescent="0.2">
      <c r="A49" s="13">
        <v>33</v>
      </c>
      <c r="B49" s="16"/>
      <c r="C49" s="40" t="s">
        <v>59</v>
      </c>
      <c r="D49" s="16"/>
      <c r="E49" s="19">
        <f t="shared" si="3"/>
        <v>610.10000000000014</v>
      </c>
      <c r="F49" s="19">
        <f t="shared" si="4"/>
        <v>538.5</v>
      </c>
      <c r="G49" s="19">
        <f>+G50+G51+G52+G53</f>
        <v>307.60000000000002</v>
      </c>
      <c r="H49" s="19">
        <f>+H50+H51+H52+H53</f>
        <v>296</v>
      </c>
      <c r="I49" s="19">
        <f>+I50+I51+I52+I53</f>
        <v>113.39999999999999</v>
      </c>
      <c r="J49" s="19">
        <f>+J50+J51+J52+J53</f>
        <v>108.7</v>
      </c>
      <c r="K49" s="19">
        <f>+K50+K51+K52+K53</f>
        <v>302.50000000000006</v>
      </c>
      <c r="L49" s="19">
        <f t="shared" ref="L49:X49" si="5">+L50+L51+L52+L53</f>
        <v>2.1000000000000014</v>
      </c>
      <c r="M49" s="19">
        <f t="shared" si="5"/>
        <v>-14.7</v>
      </c>
      <c r="N49" s="19">
        <f t="shared" si="5"/>
        <v>-17.3</v>
      </c>
      <c r="O49" s="19">
        <f t="shared" si="5"/>
        <v>16.8</v>
      </c>
      <c r="P49" s="19">
        <f t="shared" si="5"/>
        <v>0</v>
      </c>
      <c r="Q49" s="19">
        <f t="shared" si="5"/>
        <v>0</v>
      </c>
      <c r="R49" s="19">
        <f t="shared" si="5"/>
        <v>0</v>
      </c>
      <c r="S49" s="19">
        <f t="shared" si="5"/>
        <v>0</v>
      </c>
      <c r="T49" s="19">
        <f t="shared" si="5"/>
        <v>0</v>
      </c>
      <c r="U49" s="19">
        <f t="shared" si="5"/>
        <v>-5.2</v>
      </c>
      <c r="V49" s="19">
        <f t="shared" si="5"/>
        <v>0</v>
      </c>
      <c r="W49" s="19">
        <f t="shared" si="5"/>
        <v>0</v>
      </c>
      <c r="X49" s="19">
        <f t="shared" si="5"/>
        <v>242.5</v>
      </c>
    </row>
    <row r="50" spans="1:24" ht="15" customHeight="1" x14ac:dyDescent="0.2">
      <c r="A50" s="41" t="s">
        <v>60</v>
      </c>
      <c r="B50" s="16"/>
      <c r="C50" s="17" t="s">
        <v>61</v>
      </c>
      <c r="D50" s="18" t="s">
        <v>62</v>
      </c>
      <c r="E50" s="19">
        <f t="shared" si="3"/>
        <v>122.10000000000001</v>
      </c>
      <c r="F50" s="19">
        <f t="shared" si="4"/>
        <v>116.9</v>
      </c>
      <c r="G50" s="19">
        <f>137.3-15.2</f>
        <v>122.10000000000001</v>
      </c>
      <c r="H50" s="19">
        <v>116.9</v>
      </c>
      <c r="I50" s="20">
        <f>130.7-17.3</f>
        <v>113.39999999999999</v>
      </c>
      <c r="J50" s="20">
        <v>108.7</v>
      </c>
      <c r="K50" s="20"/>
      <c r="L50" s="22">
        <f t="shared" si="1"/>
        <v>-15.2</v>
      </c>
      <c r="M50" s="22">
        <v>-15.2</v>
      </c>
      <c r="N50" s="22">
        <v>-17.3</v>
      </c>
      <c r="P50" s="23">
        <f t="shared" si="2"/>
        <v>0</v>
      </c>
      <c r="Q50" s="23"/>
      <c r="X50" s="24"/>
    </row>
    <row r="51" spans="1:24" ht="25.5" x14ac:dyDescent="0.2">
      <c r="A51" s="41" t="s">
        <v>63</v>
      </c>
      <c r="B51" s="16"/>
      <c r="C51" s="42" t="s">
        <v>64</v>
      </c>
      <c r="D51" s="16" t="s">
        <v>65</v>
      </c>
      <c r="E51" s="19">
        <f t="shared" si="3"/>
        <v>25</v>
      </c>
      <c r="F51" s="19">
        <f t="shared" si="4"/>
        <v>25</v>
      </c>
      <c r="G51" s="19">
        <v>25</v>
      </c>
      <c r="H51" s="19">
        <v>25</v>
      </c>
      <c r="I51" s="20"/>
      <c r="J51" s="20"/>
      <c r="K51" s="20"/>
      <c r="L51" s="22">
        <f t="shared" si="1"/>
        <v>0</v>
      </c>
      <c r="M51" s="22"/>
      <c r="N51" s="22"/>
      <c r="P51" s="23">
        <f t="shared" si="2"/>
        <v>0</v>
      </c>
      <c r="Q51" s="23"/>
      <c r="X51" s="24"/>
    </row>
    <row r="52" spans="1:24" ht="15" customHeight="1" x14ac:dyDescent="0.2">
      <c r="A52" s="41" t="s">
        <v>66</v>
      </c>
      <c r="B52" s="16"/>
      <c r="C52" s="42" t="s">
        <v>67</v>
      </c>
      <c r="D52" s="16" t="s">
        <v>68</v>
      </c>
      <c r="E52" s="19">
        <f t="shared" si="3"/>
        <v>14</v>
      </c>
      <c r="F52" s="19">
        <f t="shared" si="4"/>
        <v>11.3</v>
      </c>
      <c r="G52" s="19">
        <v>14</v>
      </c>
      <c r="H52" s="19">
        <v>11.3</v>
      </c>
      <c r="I52" s="20"/>
      <c r="J52" s="20"/>
      <c r="K52" s="20"/>
      <c r="L52" s="22">
        <f t="shared" si="1"/>
        <v>0</v>
      </c>
      <c r="M52" s="22"/>
      <c r="N52" s="22"/>
      <c r="P52" s="23">
        <f t="shared" si="2"/>
        <v>0</v>
      </c>
      <c r="Q52" s="23"/>
      <c r="X52" s="24"/>
    </row>
    <row r="53" spans="1:24" ht="39" customHeight="1" x14ac:dyDescent="0.2">
      <c r="A53" s="41" t="s">
        <v>69</v>
      </c>
      <c r="B53" s="16"/>
      <c r="C53" s="43" t="s">
        <v>70</v>
      </c>
      <c r="D53" s="16"/>
      <c r="E53" s="44">
        <f t="shared" si="3"/>
        <v>449.00000000000006</v>
      </c>
      <c r="F53" s="44">
        <f t="shared" si="4"/>
        <v>385.29999999999995</v>
      </c>
      <c r="G53" s="44">
        <f>+G54+G55+G56+G57+G58+G59+G60+G61+G62+G63+G64</f>
        <v>146.5</v>
      </c>
      <c r="H53" s="44">
        <f>+H54+H55+H56+H57+H58+H59+H60+H61+H62+H63+H64</f>
        <v>142.79999999999998</v>
      </c>
      <c r="I53" s="68">
        <f>+I54+I55+I56+I57+I58+I59+I60+I61+I62+I63+I64</f>
        <v>0</v>
      </c>
      <c r="J53" s="68">
        <f>+J54+J55+J56+J57+J58+J59+J60+J61+J62+J63+J64</f>
        <v>0</v>
      </c>
      <c r="K53" s="44">
        <f>+K54+K55+K56+K57+K58+K59+K60+K61+K62+K63+K64</f>
        <v>302.50000000000006</v>
      </c>
      <c r="L53" s="44">
        <f t="shared" ref="L53:X53" si="6">+L54+L55+L56+L57+L58+L59+L60+L61+L62+L63+L64</f>
        <v>17.3</v>
      </c>
      <c r="M53" s="44">
        <f t="shared" si="6"/>
        <v>0.5</v>
      </c>
      <c r="N53" s="44">
        <f t="shared" si="6"/>
        <v>0</v>
      </c>
      <c r="O53" s="44">
        <f t="shared" si="6"/>
        <v>16.8</v>
      </c>
      <c r="P53" s="44">
        <f t="shared" si="6"/>
        <v>0</v>
      </c>
      <c r="Q53" s="44">
        <f t="shared" si="6"/>
        <v>0</v>
      </c>
      <c r="R53" s="44">
        <f t="shared" si="6"/>
        <v>0</v>
      </c>
      <c r="S53" s="44">
        <f t="shared" si="6"/>
        <v>0</v>
      </c>
      <c r="T53" s="44">
        <f t="shared" si="6"/>
        <v>0</v>
      </c>
      <c r="U53" s="44">
        <f t="shared" si="6"/>
        <v>-5.2</v>
      </c>
      <c r="V53" s="44">
        <f t="shared" si="6"/>
        <v>0</v>
      </c>
      <c r="W53" s="44">
        <f t="shared" si="6"/>
        <v>0</v>
      </c>
      <c r="X53" s="44">
        <f t="shared" si="6"/>
        <v>242.5</v>
      </c>
    </row>
    <row r="54" spans="1:24" ht="15" customHeight="1" x14ac:dyDescent="0.2">
      <c r="A54" s="41" t="s">
        <v>71</v>
      </c>
      <c r="B54" s="16"/>
      <c r="C54" s="45" t="s">
        <v>72</v>
      </c>
      <c r="D54" s="16" t="s">
        <v>30</v>
      </c>
      <c r="E54" s="19">
        <f t="shared" si="3"/>
        <v>101</v>
      </c>
      <c r="F54" s="19">
        <f t="shared" si="4"/>
        <v>100.9</v>
      </c>
      <c r="G54" s="19"/>
      <c r="H54" s="19"/>
      <c r="I54" s="19"/>
      <c r="J54" s="19"/>
      <c r="K54" s="19">
        <v>101</v>
      </c>
      <c r="L54" s="22">
        <f t="shared" si="1"/>
        <v>0</v>
      </c>
      <c r="M54" s="22"/>
      <c r="N54" s="22"/>
      <c r="P54" s="23">
        <f t="shared" si="2"/>
        <v>0</v>
      </c>
      <c r="Q54" s="23"/>
      <c r="X54" s="50">
        <f>101-0.1</f>
        <v>100.9</v>
      </c>
    </row>
    <row r="55" spans="1:24" ht="37.9" customHeight="1" x14ac:dyDescent="0.2">
      <c r="A55" s="46" t="s">
        <v>73</v>
      </c>
      <c r="B55" s="26"/>
      <c r="C55" s="45" t="s">
        <v>74</v>
      </c>
      <c r="D55" s="26" t="s">
        <v>38</v>
      </c>
      <c r="E55" s="19">
        <f t="shared" si="3"/>
        <v>149.30000000000001</v>
      </c>
      <c r="F55" s="19">
        <f t="shared" si="4"/>
        <v>119</v>
      </c>
      <c r="G55" s="19">
        <f>2+0.5</f>
        <v>2.5</v>
      </c>
      <c r="H55" s="19">
        <v>1.2</v>
      </c>
      <c r="I55" s="20"/>
      <c r="J55" s="20"/>
      <c r="K55" s="20">
        <f>134.5-5.2+17.5</f>
        <v>146.80000000000001</v>
      </c>
      <c r="L55" s="22">
        <f t="shared" si="1"/>
        <v>12.8</v>
      </c>
      <c r="M55" s="22">
        <v>0.5</v>
      </c>
      <c r="N55" s="22"/>
      <c r="O55" s="3">
        <f>-5.2+17.5</f>
        <v>12.3</v>
      </c>
      <c r="P55" s="23">
        <f t="shared" si="2"/>
        <v>0</v>
      </c>
      <c r="Q55" s="23"/>
      <c r="U55" s="47">
        <v>-5.2</v>
      </c>
      <c r="X55" s="36">
        <v>117.8</v>
      </c>
    </row>
    <row r="56" spans="1:24" ht="26.45" customHeight="1" x14ac:dyDescent="0.2">
      <c r="A56" s="41" t="s">
        <v>75</v>
      </c>
      <c r="B56" s="16"/>
      <c r="C56" s="48" t="s">
        <v>76</v>
      </c>
      <c r="D56" s="16" t="s">
        <v>38</v>
      </c>
      <c r="E56" s="19">
        <f t="shared" si="3"/>
        <v>8</v>
      </c>
      <c r="F56" s="19">
        <f t="shared" si="4"/>
        <v>8</v>
      </c>
      <c r="G56" s="19">
        <v>8</v>
      </c>
      <c r="H56" s="19">
        <v>8</v>
      </c>
      <c r="I56" s="20"/>
      <c r="J56" s="20"/>
      <c r="K56" s="20"/>
      <c r="L56" s="22">
        <f t="shared" si="1"/>
        <v>0</v>
      </c>
      <c r="M56" s="22"/>
      <c r="N56" s="22"/>
      <c r="P56" s="23">
        <f t="shared" si="2"/>
        <v>0</v>
      </c>
      <c r="Q56" s="23"/>
      <c r="X56" s="36"/>
    </row>
    <row r="57" spans="1:24" ht="25.5" x14ac:dyDescent="0.2">
      <c r="A57" s="46" t="s">
        <v>77</v>
      </c>
      <c r="B57" s="26"/>
      <c r="C57" s="49" t="s">
        <v>78</v>
      </c>
      <c r="D57" s="26" t="s">
        <v>21</v>
      </c>
      <c r="E57" s="19">
        <f t="shared" si="3"/>
        <v>22.5</v>
      </c>
      <c r="F57" s="19">
        <f t="shared" si="4"/>
        <v>9.9</v>
      </c>
      <c r="G57" s="19">
        <f>1+0.4</f>
        <v>1.4</v>
      </c>
      <c r="H57" s="19">
        <v>0.1</v>
      </c>
      <c r="I57" s="20"/>
      <c r="J57" s="20"/>
      <c r="K57" s="20">
        <f>18.5-0.4+1+2</f>
        <v>21.1</v>
      </c>
      <c r="L57" s="22">
        <f t="shared" si="1"/>
        <v>2</v>
      </c>
      <c r="M57" s="22"/>
      <c r="N57" s="22"/>
      <c r="O57" s="3">
        <v>2</v>
      </c>
      <c r="P57" s="23">
        <f t="shared" si="2"/>
        <v>0</v>
      </c>
      <c r="Q57" s="23"/>
      <c r="X57" s="36">
        <v>9.8000000000000007</v>
      </c>
    </row>
    <row r="58" spans="1:24" ht="25.5" x14ac:dyDescent="0.2">
      <c r="A58" s="46" t="s">
        <v>79</v>
      </c>
      <c r="B58" s="26"/>
      <c r="C58" s="48" t="s">
        <v>80</v>
      </c>
      <c r="D58" s="26" t="s">
        <v>21</v>
      </c>
      <c r="E58" s="19">
        <f t="shared" si="3"/>
        <v>35</v>
      </c>
      <c r="F58" s="19">
        <f t="shared" si="4"/>
        <v>14.3</v>
      </c>
      <c r="G58" s="19">
        <f>1+0.4</f>
        <v>1.4</v>
      </c>
      <c r="H58" s="19">
        <v>0.3</v>
      </c>
      <c r="I58" s="20"/>
      <c r="J58" s="20"/>
      <c r="K58" s="20">
        <f>18.5-0.4+13+2.5</f>
        <v>33.6</v>
      </c>
      <c r="L58" s="22">
        <f t="shared" si="1"/>
        <v>2.5</v>
      </c>
      <c r="M58" s="22"/>
      <c r="N58" s="22"/>
      <c r="O58" s="3">
        <v>2.5</v>
      </c>
      <c r="P58" s="23">
        <f t="shared" si="2"/>
        <v>0</v>
      </c>
      <c r="Q58" s="23"/>
      <c r="X58" s="50">
        <v>14</v>
      </c>
    </row>
    <row r="59" spans="1:24" ht="15" customHeight="1" x14ac:dyDescent="0.2">
      <c r="A59" s="41" t="s">
        <v>81</v>
      </c>
      <c r="B59" s="16"/>
      <c r="C59" s="48" t="s">
        <v>82</v>
      </c>
      <c r="D59" s="18" t="s">
        <v>83</v>
      </c>
      <c r="E59" s="19">
        <f t="shared" si="3"/>
        <v>20</v>
      </c>
      <c r="F59" s="19">
        <f t="shared" si="4"/>
        <v>20</v>
      </c>
      <c r="G59" s="19">
        <v>20</v>
      </c>
      <c r="H59" s="19">
        <v>20</v>
      </c>
      <c r="I59" s="20"/>
      <c r="J59" s="20"/>
      <c r="K59" s="20"/>
      <c r="L59" s="22">
        <f t="shared" si="1"/>
        <v>0</v>
      </c>
      <c r="M59" s="22"/>
      <c r="N59" s="22"/>
      <c r="P59" s="23">
        <f t="shared" si="2"/>
        <v>0</v>
      </c>
      <c r="Q59" s="23"/>
      <c r="X59" s="24"/>
    </row>
    <row r="60" spans="1:24" ht="44.25" customHeight="1" x14ac:dyDescent="0.2">
      <c r="A60" s="41" t="s">
        <v>84</v>
      </c>
      <c r="B60" s="16"/>
      <c r="C60" s="48" t="s">
        <v>85</v>
      </c>
      <c r="D60" s="18" t="s">
        <v>83</v>
      </c>
      <c r="E60" s="19">
        <f t="shared" si="3"/>
        <v>30</v>
      </c>
      <c r="F60" s="19">
        <f t="shared" si="4"/>
        <v>30</v>
      </c>
      <c r="G60" s="19">
        <v>30</v>
      </c>
      <c r="H60" s="19">
        <v>30</v>
      </c>
      <c r="I60" s="20"/>
      <c r="J60" s="20"/>
      <c r="K60" s="20"/>
      <c r="L60" s="22">
        <f t="shared" si="1"/>
        <v>0</v>
      </c>
      <c r="M60" s="22"/>
      <c r="N60" s="22"/>
      <c r="P60" s="23">
        <f t="shared" si="2"/>
        <v>0</v>
      </c>
      <c r="Q60" s="23"/>
      <c r="X60" s="24"/>
    </row>
    <row r="61" spans="1:24" ht="25.5" x14ac:dyDescent="0.2">
      <c r="A61" s="41" t="s">
        <v>86</v>
      </c>
      <c r="B61" s="16"/>
      <c r="C61" s="48" t="s">
        <v>87</v>
      </c>
      <c r="D61" s="18" t="s">
        <v>83</v>
      </c>
      <c r="E61" s="19">
        <f t="shared" si="3"/>
        <v>10</v>
      </c>
      <c r="F61" s="19">
        <f t="shared" si="4"/>
        <v>10</v>
      </c>
      <c r="G61" s="19">
        <v>10</v>
      </c>
      <c r="H61" s="19">
        <v>10</v>
      </c>
      <c r="I61" s="20"/>
      <c r="J61" s="20"/>
      <c r="K61" s="20"/>
      <c r="L61" s="22">
        <f t="shared" si="1"/>
        <v>0</v>
      </c>
      <c r="M61" s="22"/>
      <c r="N61" s="22"/>
      <c r="P61" s="23">
        <f t="shared" si="2"/>
        <v>0</v>
      </c>
      <c r="Q61" s="23"/>
      <c r="X61" s="24"/>
    </row>
    <row r="62" spans="1:24" ht="15" customHeight="1" x14ac:dyDescent="0.2">
      <c r="A62" s="41" t="s">
        <v>88</v>
      </c>
      <c r="B62" s="16"/>
      <c r="C62" s="48" t="s">
        <v>89</v>
      </c>
      <c r="D62" s="16" t="s">
        <v>38</v>
      </c>
      <c r="E62" s="19">
        <f t="shared" si="3"/>
        <v>15</v>
      </c>
      <c r="F62" s="19">
        <f t="shared" si="4"/>
        <v>15</v>
      </c>
      <c r="G62" s="19">
        <v>15</v>
      </c>
      <c r="H62" s="19">
        <v>15</v>
      </c>
      <c r="I62" s="20"/>
      <c r="J62" s="20"/>
      <c r="K62" s="20"/>
      <c r="L62" s="22">
        <f t="shared" si="1"/>
        <v>0</v>
      </c>
      <c r="M62" s="22"/>
      <c r="N62" s="22"/>
      <c r="P62" s="23">
        <f t="shared" si="2"/>
        <v>0</v>
      </c>
      <c r="Q62" s="23"/>
      <c r="X62" s="24"/>
    </row>
    <row r="63" spans="1:24" ht="25.5" x14ac:dyDescent="0.2">
      <c r="A63" s="41" t="s">
        <v>90</v>
      </c>
      <c r="B63" s="16"/>
      <c r="C63" s="48" t="s">
        <v>91</v>
      </c>
      <c r="D63" s="26" t="s">
        <v>38</v>
      </c>
      <c r="E63" s="19">
        <f t="shared" si="3"/>
        <v>50</v>
      </c>
      <c r="F63" s="19">
        <f t="shared" si="4"/>
        <v>50</v>
      </c>
      <c r="G63" s="19">
        <v>50</v>
      </c>
      <c r="H63" s="19">
        <v>50</v>
      </c>
      <c r="I63" s="20"/>
      <c r="J63" s="20"/>
      <c r="K63" s="20"/>
      <c r="L63" s="22">
        <f t="shared" si="1"/>
        <v>0</v>
      </c>
      <c r="M63" s="22"/>
      <c r="N63" s="22"/>
      <c r="P63" s="23">
        <f t="shared" si="2"/>
        <v>0</v>
      </c>
      <c r="Q63" s="23"/>
      <c r="X63" s="24"/>
    </row>
    <row r="64" spans="1:24" ht="25.5" x14ac:dyDescent="0.2">
      <c r="A64" s="41" t="s">
        <v>92</v>
      </c>
      <c r="B64" s="16"/>
      <c r="C64" s="48" t="s">
        <v>93</v>
      </c>
      <c r="D64" s="26" t="s">
        <v>38</v>
      </c>
      <c r="E64" s="19">
        <f t="shared" si="3"/>
        <v>8.1999999999999993</v>
      </c>
      <c r="F64" s="19">
        <f t="shared" si="4"/>
        <v>8.1999999999999993</v>
      </c>
      <c r="G64" s="19">
        <v>8.1999999999999993</v>
      </c>
      <c r="H64" s="19">
        <v>8.1999999999999993</v>
      </c>
      <c r="I64" s="20"/>
      <c r="J64" s="20"/>
      <c r="K64" s="20"/>
      <c r="L64" s="22">
        <f t="shared" si="1"/>
        <v>0</v>
      </c>
      <c r="M64" s="22"/>
      <c r="N64" s="22"/>
      <c r="P64" s="23">
        <f t="shared" si="2"/>
        <v>0</v>
      </c>
      <c r="Q64" s="23"/>
      <c r="X64" s="24"/>
    </row>
    <row r="65" spans="1:24" ht="20.100000000000001" customHeight="1" x14ac:dyDescent="0.2">
      <c r="A65" s="13">
        <v>34</v>
      </c>
      <c r="B65" s="11" t="s">
        <v>94</v>
      </c>
      <c r="C65" s="51" t="s">
        <v>95</v>
      </c>
      <c r="D65" s="12"/>
      <c r="E65" s="52">
        <f t="shared" si="3"/>
        <v>438</v>
      </c>
      <c r="F65" s="52">
        <f t="shared" si="4"/>
        <v>407.09999999999997</v>
      </c>
      <c r="G65" s="52">
        <f>+G66+G69</f>
        <v>357.1</v>
      </c>
      <c r="H65" s="52">
        <f>+H66+H69</f>
        <v>350.7</v>
      </c>
      <c r="I65" s="52">
        <f>+I66+I69</f>
        <v>36.599999999999994</v>
      </c>
      <c r="J65" s="52">
        <f>+J66+J69</f>
        <v>36.5</v>
      </c>
      <c r="K65" s="52">
        <f>+K66+K69</f>
        <v>80.900000000000006</v>
      </c>
      <c r="L65" s="52">
        <f t="shared" ref="L65:X65" si="7">+L66+L69</f>
        <v>-15.9</v>
      </c>
      <c r="M65" s="52">
        <f t="shared" si="7"/>
        <v>-15.9</v>
      </c>
      <c r="N65" s="52">
        <f t="shared" si="7"/>
        <v>0</v>
      </c>
      <c r="O65" s="52">
        <f t="shared" si="7"/>
        <v>0</v>
      </c>
      <c r="P65" s="52">
        <f t="shared" si="7"/>
        <v>0</v>
      </c>
      <c r="Q65" s="52">
        <f t="shared" si="7"/>
        <v>0</v>
      </c>
      <c r="R65" s="52">
        <f t="shared" si="7"/>
        <v>0</v>
      </c>
      <c r="S65" s="52">
        <f t="shared" si="7"/>
        <v>0</v>
      </c>
      <c r="T65" s="52">
        <f t="shared" si="7"/>
        <v>0</v>
      </c>
      <c r="U65" s="52">
        <f t="shared" si="7"/>
        <v>0</v>
      </c>
      <c r="V65" s="52">
        <f t="shared" si="7"/>
        <v>0</v>
      </c>
      <c r="W65" s="52">
        <f t="shared" si="7"/>
        <v>0</v>
      </c>
      <c r="X65" s="52">
        <f t="shared" si="7"/>
        <v>56.399999999999991</v>
      </c>
    </row>
    <row r="66" spans="1:24" ht="25.5" customHeight="1" x14ac:dyDescent="0.2">
      <c r="A66" s="260">
        <v>35</v>
      </c>
      <c r="B66" s="272"/>
      <c r="C66" s="27" t="s">
        <v>96</v>
      </c>
      <c r="D66" s="18" t="s">
        <v>97</v>
      </c>
      <c r="E66" s="20">
        <f t="shared" si="3"/>
        <v>47.5</v>
      </c>
      <c r="F66" s="20">
        <f t="shared" si="4"/>
        <v>47.4</v>
      </c>
      <c r="G66" s="20">
        <f>36.8+7.7+3</f>
        <v>47.5</v>
      </c>
      <c r="H66" s="20">
        <v>47.4</v>
      </c>
      <c r="I66" s="20">
        <f>36.3+0.3</f>
        <v>36.599999999999994</v>
      </c>
      <c r="J66" s="20">
        <v>36.5</v>
      </c>
      <c r="K66" s="20">
        <f>SUM(K67:K67)</f>
        <v>0</v>
      </c>
      <c r="L66" s="22">
        <f t="shared" si="1"/>
        <v>0</v>
      </c>
      <c r="M66" s="22"/>
      <c r="N66" s="22"/>
      <c r="P66" s="23">
        <f t="shared" si="2"/>
        <v>0</v>
      </c>
      <c r="Q66" s="23"/>
      <c r="X66" s="24"/>
    </row>
    <row r="67" spans="1:24" ht="25.5" x14ac:dyDescent="0.2">
      <c r="A67" s="271"/>
      <c r="B67" s="273"/>
      <c r="C67" s="54" t="s">
        <v>98</v>
      </c>
      <c r="D67" s="275" t="s">
        <v>99</v>
      </c>
      <c r="E67" s="20">
        <f t="shared" si="3"/>
        <v>7.7</v>
      </c>
      <c r="F67" s="20">
        <f t="shared" si="4"/>
        <v>7.7</v>
      </c>
      <c r="G67" s="20">
        <v>7.7</v>
      </c>
      <c r="H67" s="20">
        <v>7.7</v>
      </c>
      <c r="I67" s="20"/>
      <c r="J67" s="20"/>
      <c r="K67" s="20"/>
      <c r="L67" s="22">
        <f t="shared" si="1"/>
        <v>0</v>
      </c>
      <c r="M67" s="22"/>
      <c r="N67" s="22"/>
      <c r="P67" s="23">
        <f t="shared" si="2"/>
        <v>0</v>
      </c>
      <c r="Q67" s="23"/>
      <c r="X67" s="24"/>
    </row>
    <row r="68" spans="1:24" ht="25.5" x14ac:dyDescent="0.2">
      <c r="A68" s="261"/>
      <c r="B68" s="274"/>
      <c r="C68" s="54" t="s">
        <v>100</v>
      </c>
      <c r="D68" s="276"/>
      <c r="E68" s="20">
        <f t="shared" si="3"/>
        <v>3</v>
      </c>
      <c r="F68" s="20">
        <f t="shared" si="4"/>
        <v>2.9</v>
      </c>
      <c r="G68" s="20">
        <v>3</v>
      </c>
      <c r="H68" s="20">
        <v>2.9</v>
      </c>
      <c r="I68" s="20">
        <v>0.3</v>
      </c>
      <c r="J68" s="20">
        <v>0.2</v>
      </c>
      <c r="K68" s="20"/>
      <c r="L68" s="22">
        <f t="shared" si="1"/>
        <v>0</v>
      </c>
      <c r="M68" s="22"/>
      <c r="N68" s="22"/>
      <c r="P68" s="23">
        <f t="shared" si="2"/>
        <v>0</v>
      </c>
      <c r="Q68" s="23"/>
      <c r="X68" s="24"/>
    </row>
    <row r="69" spans="1:24" x14ac:dyDescent="0.2">
      <c r="A69" s="13">
        <v>36</v>
      </c>
      <c r="B69" s="16"/>
      <c r="C69" s="40" t="s">
        <v>59</v>
      </c>
      <c r="D69" s="18"/>
      <c r="E69" s="20">
        <f t="shared" si="3"/>
        <v>390.5</v>
      </c>
      <c r="F69" s="20">
        <f t="shared" si="4"/>
        <v>359.7</v>
      </c>
      <c r="G69" s="20">
        <f>+G70+G71+G72+G73+G74+G75+G76+G77+G78+G79+G80+G81+G82+G83+G84</f>
        <v>309.60000000000002</v>
      </c>
      <c r="H69" s="20">
        <f>+H70+H71+H72+H73+H74+H75+H76+H77+H78+H79+H80+H81+H82+H83+H84</f>
        <v>303.3</v>
      </c>
      <c r="I69" s="20">
        <f>+I70+I71+I72+I73+I74+I75+I76+I77+I78+I79+I80+I81+I82+I83+I84</f>
        <v>0</v>
      </c>
      <c r="J69" s="20"/>
      <c r="K69" s="20">
        <f>+K70+K71+K72+K73+K74+K75+K76+K77+K78+K79+K80+K81+K82+K83+K84</f>
        <v>80.900000000000006</v>
      </c>
      <c r="L69" s="20">
        <f t="shared" ref="L69:X69" si="8">+L70+L71+L72+L73+L74+L75+L76+L77+L78+L79+L80+L81+L82+L83+L84</f>
        <v>-15.9</v>
      </c>
      <c r="M69" s="20">
        <f t="shared" si="8"/>
        <v>-15.9</v>
      </c>
      <c r="N69" s="20">
        <f t="shared" si="8"/>
        <v>0</v>
      </c>
      <c r="O69" s="20">
        <f t="shared" si="8"/>
        <v>0</v>
      </c>
      <c r="P69" s="20">
        <f t="shared" si="8"/>
        <v>0</v>
      </c>
      <c r="Q69" s="20">
        <f t="shared" si="8"/>
        <v>0</v>
      </c>
      <c r="R69" s="20">
        <f t="shared" si="8"/>
        <v>0</v>
      </c>
      <c r="S69" s="20">
        <f t="shared" si="8"/>
        <v>0</v>
      </c>
      <c r="T69" s="20">
        <f t="shared" si="8"/>
        <v>0</v>
      </c>
      <c r="U69" s="20">
        <f t="shared" si="8"/>
        <v>0</v>
      </c>
      <c r="V69" s="20">
        <f t="shared" si="8"/>
        <v>0</v>
      </c>
      <c r="W69" s="20">
        <f t="shared" si="8"/>
        <v>0</v>
      </c>
      <c r="X69" s="20">
        <f t="shared" si="8"/>
        <v>56.399999999999991</v>
      </c>
    </row>
    <row r="70" spans="1:24" ht="16.5" customHeight="1" x14ac:dyDescent="0.2">
      <c r="A70" s="41" t="s">
        <v>101</v>
      </c>
      <c r="B70" s="16"/>
      <c r="C70" s="17" t="s">
        <v>61</v>
      </c>
      <c r="D70" s="16" t="s">
        <v>102</v>
      </c>
      <c r="E70" s="20">
        <f t="shared" si="3"/>
        <v>1</v>
      </c>
      <c r="F70" s="20">
        <f t="shared" si="4"/>
        <v>1</v>
      </c>
      <c r="G70" s="20">
        <v>1</v>
      </c>
      <c r="H70" s="20">
        <v>1</v>
      </c>
      <c r="I70" s="20"/>
      <c r="J70" s="20"/>
      <c r="K70" s="20"/>
      <c r="L70" s="22">
        <f t="shared" si="1"/>
        <v>0</v>
      </c>
      <c r="M70" s="22"/>
      <c r="N70" s="22"/>
      <c r="P70" s="23">
        <f t="shared" si="2"/>
        <v>0</v>
      </c>
      <c r="Q70" s="23"/>
      <c r="X70" s="24"/>
    </row>
    <row r="71" spans="1:24" ht="25.5" x14ac:dyDescent="0.2">
      <c r="A71" s="46" t="s">
        <v>103</v>
      </c>
      <c r="B71" s="26"/>
      <c r="C71" s="55" t="s">
        <v>104</v>
      </c>
      <c r="D71" s="38" t="s">
        <v>99</v>
      </c>
      <c r="E71" s="20">
        <f t="shared" si="3"/>
        <v>0.4</v>
      </c>
      <c r="F71" s="20">
        <f t="shared" si="4"/>
        <v>0.4</v>
      </c>
      <c r="G71" s="20">
        <f>0.3+0.1</f>
        <v>0.4</v>
      </c>
      <c r="H71" s="20">
        <v>0.4</v>
      </c>
      <c r="I71" s="20"/>
      <c r="J71" s="20"/>
      <c r="K71" s="20"/>
      <c r="L71" s="22">
        <f t="shared" si="1"/>
        <v>0.1</v>
      </c>
      <c r="M71" s="22">
        <v>0.1</v>
      </c>
      <c r="N71" s="22"/>
      <c r="P71" s="23">
        <f t="shared" si="2"/>
        <v>0</v>
      </c>
      <c r="Q71" s="23"/>
      <c r="X71" s="24"/>
    </row>
    <row r="72" spans="1:24" ht="42" customHeight="1" x14ac:dyDescent="0.2">
      <c r="A72" s="41" t="s">
        <v>105</v>
      </c>
      <c r="B72" s="16"/>
      <c r="C72" s="55" t="s">
        <v>106</v>
      </c>
      <c r="D72" s="18" t="s">
        <v>107</v>
      </c>
      <c r="E72" s="20">
        <f t="shared" si="3"/>
        <v>30</v>
      </c>
      <c r="F72" s="20">
        <f t="shared" si="4"/>
        <v>30</v>
      </c>
      <c r="G72" s="20">
        <v>30</v>
      </c>
      <c r="H72" s="20">
        <v>30</v>
      </c>
      <c r="I72" s="20"/>
      <c r="J72" s="20"/>
      <c r="K72" s="20"/>
      <c r="L72" s="22">
        <f t="shared" si="1"/>
        <v>0</v>
      </c>
      <c r="M72" s="22"/>
      <c r="N72" s="22"/>
      <c r="P72" s="23">
        <f t="shared" si="2"/>
        <v>0</v>
      </c>
      <c r="Q72" s="23"/>
      <c r="X72" s="24"/>
    </row>
    <row r="73" spans="1:24" ht="30.6" customHeight="1" x14ac:dyDescent="0.2">
      <c r="A73" s="41" t="s">
        <v>108</v>
      </c>
      <c r="B73" s="16"/>
      <c r="C73" s="55" t="s">
        <v>109</v>
      </c>
      <c r="D73" s="18" t="s">
        <v>110</v>
      </c>
      <c r="E73" s="20">
        <f t="shared" si="3"/>
        <v>40</v>
      </c>
      <c r="F73" s="20">
        <f t="shared" si="4"/>
        <v>40</v>
      </c>
      <c r="G73" s="20">
        <v>40</v>
      </c>
      <c r="H73" s="20">
        <v>40</v>
      </c>
      <c r="I73" s="20"/>
      <c r="J73" s="20"/>
      <c r="K73" s="20"/>
      <c r="L73" s="22">
        <f t="shared" si="1"/>
        <v>0</v>
      </c>
      <c r="M73" s="22"/>
      <c r="N73" s="22"/>
      <c r="P73" s="23">
        <f t="shared" si="2"/>
        <v>0</v>
      </c>
      <c r="Q73" s="23"/>
      <c r="X73" s="24"/>
    </row>
    <row r="74" spans="1:24" ht="25.9" customHeight="1" x14ac:dyDescent="0.2">
      <c r="A74" s="41" t="s">
        <v>111</v>
      </c>
      <c r="B74" s="16"/>
      <c r="C74" s="55" t="s">
        <v>112</v>
      </c>
      <c r="D74" s="18" t="s">
        <v>113</v>
      </c>
      <c r="E74" s="20">
        <f t="shared" si="3"/>
        <v>15.3</v>
      </c>
      <c r="F74" s="20">
        <f t="shared" si="4"/>
        <v>10.199999999999999</v>
      </c>
      <c r="G74" s="20">
        <v>15.3</v>
      </c>
      <c r="H74" s="32">
        <f>10.1+0.1</f>
        <v>10.199999999999999</v>
      </c>
      <c r="I74" s="20"/>
      <c r="J74" s="20"/>
      <c r="K74" s="20"/>
      <c r="L74" s="22">
        <f t="shared" si="1"/>
        <v>0</v>
      </c>
      <c r="M74" s="22"/>
      <c r="N74" s="22"/>
      <c r="P74" s="23">
        <f t="shared" si="2"/>
        <v>0</v>
      </c>
      <c r="Q74" s="23"/>
      <c r="X74" s="24"/>
    </row>
    <row r="75" spans="1:24" ht="42.75" customHeight="1" x14ac:dyDescent="0.2">
      <c r="A75" s="41" t="s">
        <v>114</v>
      </c>
      <c r="B75" s="16"/>
      <c r="C75" s="55" t="s">
        <v>115</v>
      </c>
      <c r="D75" s="18" t="s">
        <v>110</v>
      </c>
      <c r="E75" s="20">
        <f t="shared" si="3"/>
        <v>18</v>
      </c>
      <c r="F75" s="20">
        <f t="shared" si="4"/>
        <v>17.899999999999999</v>
      </c>
      <c r="G75" s="20">
        <v>18</v>
      </c>
      <c r="H75" s="20">
        <v>17.899999999999999</v>
      </c>
      <c r="I75" s="20"/>
      <c r="J75" s="20"/>
      <c r="K75" s="20"/>
      <c r="L75" s="22">
        <f t="shared" si="1"/>
        <v>0</v>
      </c>
      <c r="M75" s="22"/>
      <c r="N75" s="22"/>
      <c r="P75" s="23">
        <f t="shared" si="2"/>
        <v>0</v>
      </c>
      <c r="Q75" s="23"/>
      <c r="X75" s="24"/>
    </row>
    <row r="76" spans="1:24" ht="39" customHeight="1" x14ac:dyDescent="0.2">
      <c r="A76" s="41" t="s">
        <v>116</v>
      </c>
      <c r="B76" s="16"/>
      <c r="C76" s="55" t="s">
        <v>117</v>
      </c>
      <c r="D76" s="18" t="s">
        <v>107</v>
      </c>
      <c r="E76" s="20">
        <f t="shared" si="3"/>
        <v>4.4000000000000004</v>
      </c>
      <c r="F76" s="20">
        <f t="shared" si="4"/>
        <v>4.4000000000000004</v>
      </c>
      <c r="G76" s="20">
        <v>4.4000000000000004</v>
      </c>
      <c r="H76" s="20">
        <v>4.4000000000000004</v>
      </c>
      <c r="I76" s="20"/>
      <c r="J76" s="20"/>
      <c r="K76" s="20"/>
      <c r="L76" s="22">
        <f t="shared" si="1"/>
        <v>0</v>
      </c>
      <c r="M76" s="22"/>
      <c r="N76" s="22"/>
      <c r="P76" s="23">
        <f t="shared" si="2"/>
        <v>0</v>
      </c>
      <c r="Q76" s="23"/>
      <c r="X76" s="24"/>
    </row>
    <row r="77" spans="1:24" ht="40.5" customHeight="1" x14ac:dyDescent="0.2">
      <c r="A77" s="41" t="s">
        <v>118</v>
      </c>
      <c r="B77" s="16"/>
      <c r="C77" s="55" t="s">
        <v>119</v>
      </c>
      <c r="D77" s="18" t="s">
        <v>107</v>
      </c>
      <c r="E77" s="20">
        <f t="shared" si="3"/>
        <v>18.600000000000001</v>
      </c>
      <c r="F77" s="20">
        <f t="shared" si="4"/>
        <v>18.600000000000001</v>
      </c>
      <c r="G77" s="20">
        <v>18.600000000000001</v>
      </c>
      <c r="H77" s="20">
        <v>18.600000000000001</v>
      </c>
      <c r="I77" s="20"/>
      <c r="J77" s="20"/>
      <c r="K77" s="20"/>
      <c r="L77" s="22">
        <f t="shared" si="1"/>
        <v>0</v>
      </c>
      <c r="M77" s="22"/>
      <c r="N77" s="22"/>
      <c r="P77" s="23">
        <f t="shared" si="2"/>
        <v>0</v>
      </c>
      <c r="Q77" s="23"/>
      <c r="X77" s="24"/>
    </row>
    <row r="78" spans="1:24" ht="42" customHeight="1" x14ac:dyDescent="0.2">
      <c r="A78" s="41" t="s">
        <v>120</v>
      </c>
      <c r="B78" s="16"/>
      <c r="C78" s="55" t="s">
        <v>121</v>
      </c>
      <c r="D78" s="18" t="s">
        <v>107</v>
      </c>
      <c r="E78" s="20">
        <f t="shared" si="3"/>
        <v>42.3</v>
      </c>
      <c r="F78" s="20">
        <f t="shared" si="4"/>
        <v>41.9</v>
      </c>
      <c r="G78" s="20">
        <v>42.3</v>
      </c>
      <c r="H78" s="20">
        <v>41.9</v>
      </c>
      <c r="I78" s="20"/>
      <c r="J78" s="20"/>
      <c r="K78" s="20"/>
      <c r="L78" s="22">
        <f t="shared" ref="L78:L141" si="9">+M78+O78</f>
        <v>0</v>
      </c>
      <c r="M78" s="22"/>
      <c r="N78" s="22"/>
      <c r="P78" s="23">
        <f t="shared" ref="P78:P141" si="10">+Q78+W78</f>
        <v>0</v>
      </c>
      <c r="Q78" s="23"/>
      <c r="X78" s="24"/>
    </row>
    <row r="79" spans="1:24" ht="42" customHeight="1" x14ac:dyDescent="0.2">
      <c r="A79" s="41" t="s">
        <v>122</v>
      </c>
      <c r="B79" s="16"/>
      <c r="C79" s="55" t="s">
        <v>123</v>
      </c>
      <c r="D79" s="18" t="s">
        <v>107</v>
      </c>
      <c r="E79" s="20">
        <f t="shared" ref="E79:E142" si="11">+G79+K79</f>
        <v>10.3</v>
      </c>
      <c r="F79" s="20">
        <f t="shared" ref="F79:F142" si="12">+H79+X79</f>
        <v>10.3</v>
      </c>
      <c r="G79" s="20">
        <v>10.3</v>
      </c>
      <c r="H79" s="20">
        <v>10.3</v>
      </c>
      <c r="I79" s="20"/>
      <c r="J79" s="20"/>
      <c r="K79" s="20"/>
      <c r="L79" s="22">
        <f t="shared" si="9"/>
        <v>0</v>
      </c>
      <c r="M79" s="22"/>
      <c r="N79" s="22"/>
      <c r="P79" s="23">
        <f t="shared" si="10"/>
        <v>0</v>
      </c>
      <c r="Q79" s="23"/>
      <c r="X79" s="24"/>
    </row>
    <row r="80" spans="1:24" ht="45" customHeight="1" x14ac:dyDescent="0.2">
      <c r="A80" s="41" t="s">
        <v>124</v>
      </c>
      <c r="B80" s="16"/>
      <c r="C80" s="55" t="s">
        <v>125</v>
      </c>
      <c r="D80" s="18" t="s">
        <v>99</v>
      </c>
      <c r="E80" s="20">
        <f t="shared" si="11"/>
        <v>50</v>
      </c>
      <c r="F80" s="20">
        <f t="shared" si="12"/>
        <v>50</v>
      </c>
      <c r="G80" s="20">
        <v>50</v>
      </c>
      <c r="H80" s="20">
        <v>50</v>
      </c>
      <c r="I80" s="20"/>
      <c r="J80" s="20"/>
      <c r="K80" s="20"/>
      <c r="L80" s="22">
        <f t="shared" si="9"/>
        <v>0</v>
      </c>
      <c r="M80" s="22"/>
      <c r="N80" s="22"/>
      <c r="P80" s="23">
        <f t="shared" si="10"/>
        <v>0</v>
      </c>
      <c r="Q80" s="23"/>
      <c r="X80" s="24"/>
    </row>
    <row r="81" spans="1:24" ht="45" customHeight="1" x14ac:dyDescent="0.2">
      <c r="A81" s="41" t="s">
        <v>126</v>
      </c>
      <c r="B81" s="16"/>
      <c r="C81" s="55" t="s">
        <v>127</v>
      </c>
      <c r="D81" s="18" t="s">
        <v>113</v>
      </c>
      <c r="E81" s="20">
        <f t="shared" si="11"/>
        <v>8.5</v>
      </c>
      <c r="F81" s="20">
        <f t="shared" si="12"/>
        <v>8.5</v>
      </c>
      <c r="G81" s="20">
        <v>8.5</v>
      </c>
      <c r="H81" s="20">
        <v>8.5</v>
      </c>
      <c r="I81" s="20"/>
      <c r="J81" s="20"/>
      <c r="K81" s="20"/>
      <c r="L81" s="22">
        <f t="shared" si="9"/>
        <v>0</v>
      </c>
      <c r="M81" s="22"/>
      <c r="N81" s="22"/>
      <c r="P81" s="23">
        <f t="shared" si="10"/>
        <v>0</v>
      </c>
      <c r="Q81" s="23"/>
      <c r="X81" s="24"/>
    </row>
    <row r="82" spans="1:24" ht="45" customHeight="1" x14ac:dyDescent="0.2">
      <c r="A82" s="41" t="s">
        <v>128</v>
      </c>
      <c r="B82" s="16"/>
      <c r="C82" s="55" t="s">
        <v>129</v>
      </c>
      <c r="D82" s="18" t="s">
        <v>130</v>
      </c>
      <c r="E82" s="20">
        <f t="shared" si="11"/>
        <v>13.5</v>
      </c>
      <c r="F82" s="20">
        <f t="shared" si="12"/>
        <v>13.5</v>
      </c>
      <c r="G82" s="20">
        <v>13.5</v>
      </c>
      <c r="H82" s="20">
        <v>13.5</v>
      </c>
      <c r="I82" s="20"/>
      <c r="J82" s="20"/>
      <c r="K82" s="20"/>
      <c r="L82" s="22">
        <f t="shared" si="9"/>
        <v>0</v>
      </c>
      <c r="M82" s="22"/>
      <c r="N82" s="22"/>
      <c r="P82" s="23">
        <f t="shared" si="10"/>
        <v>0</v>
      </c>
      <c r="Q82" s="23"/>
      <c r="X82" s="24"/>
    </row>
    <row r="83" spans="1:24" ht="29.25" customHeight="1" x14ac:dyDescent="0.2">
      <c r="A83" s="41" t="s">
        <v>131</v>
      </c>
      <c r="B83" s="16"/>
      <c r="C83" s="55" t="s">
        <v>132</v>
      </c>
      <c r="D83" s="18" t="s">
        <v>133</v>
      </c>
      <c r="E83" s="20">
        <f t="shared" si="11"/>
        <v>57.2</v>
      </c>
      <c r="F83" s="20">
        <f t="shared" si="12"/>
        <v>56.2</v>
      </c>
      <c r="G83" s="20">
        <v>56.2</v>
      </c>
      <c r="H83" s="32">
        <v>56.2</v>
      </c>
      <c r="I83" s="20"/>
      <c r="J83" s="20"/>
      <c r="K83" s="20">
        <v>1</v>
      </c>
      <c r="L83" s="22">
        <f t="shared" si="9"/>
        <v>0</v>
      </c>
      <c r="M83" s="22"/>
      <c r="N83" s="22"/>
      <c r="P83" s="23">
        <f t="shared" si="10"/>
        <v>0</v>
      </c>
      <c r="Q83" s="23"/>
      <c r="X83" s="17">
        <v>0</v>
      </c>
    </row>
    <row r="84" spans="1:24" ht="38.450000000000003" customHeight="1" x14ac:dyDescent="0.2">
      <c r="A84" s="41" t="s">
        <v>134</v>
      </c>
      <c r="B84" s="16"/>
      <c r="C84" s="43" t="s">
        <v>70</v>
      </c>
      <c r="D84" s="18"/>
      <c r="E84" s="53">
        <f t="shared" si="11"/>
        <v>81</v>
      </c>
      <c r="F84" s="56">
        <f t="shared" si="12"/>
        <v>56.79999999999999</v>
      </c>
      <c r="G84" s="53">
        <f>+G85+G86+G87</f>
        <v>1.1000000000000001</v>
      </c>
      <c r="H84" s="53">
        <f>+H85+H86+H87</f>
        <v>0.4</v>
      </c>
      <c r="I84" s="53">
        <f>+I85+I86+I87</f>
        <v>0</v>
      </c>
      <c r="J84" s="53"/>
      <c r="K84" s="53">
        <f>+K85+K86+K87</f>
        <v>79.900000000000006</v>
      </c>
      <c r="L84" s="53">
        <f t="shared" ref="L84:X84" si="13">+L85+L86+L87</f>
        <v>-16</v>
      </c>
      <c r="M84" s="53">
        <f t="shared" si="13"/>
        <v>-16</v>
      </c>
      <c r="N84" s="53">
        <f t="shared" si="13"/>
        <v>0</v>
      </c>
      <c r="O84" s="53">
        <f t="shared" si="13"/>
        <v>0</v>
      </c>
      <c r="P84" s="53">
        <f t="shared" si="13"/>
        <v>0</v>
      </c>
      <c r="Q84" s="53">
        <f t="shared" si="13"/>
        <v>0</v>
      </c>
      <c r="R84" s="53">
        <f t="shared" si="13"/>
        <v>0</v>
      </c>
      <c r="S84" s="53">
        <f t="shared" si="13"/>
        <v>0</v>
      </c>
      <c r="T84" s="53">
        <f t="shared" si="13"/>
        <v>0</v>
      </c>
      <c r="U84" s="53">
        <f t="shared" si="13"/>
        <v>0</v>
      </c>
      <c r="V84" s="53">
        <f t="shared" si="13"/>
        <v>0</v>
      </c>
      <c r="W84" s="53">
        <f t="shared" si="13"/>
        <v>0</v>
      </c>
      <c r="X84" s="53">
        <f t="shared" si="13"/>
        <v>56.399999999999991</v>
      </c>
    </row>
    <row r="85" spans="1:24" ht="25.5" x14ac:dyDescent="0.2">
      <c r="A85" s="41" t="s">
        <v>135</v>
      </c>
      <c r="B85" s="16"/>
      <c r="C85" s="49" t="s">
        <v>136</v>
      </c>
      <c r="D85" s="18" t="s">
        <v>113</v>
      </c>
      <c r="E85" s="20">
        <f t="shared" si="11"/>
        <v>56</v>
      </c>
      <c r="F85" s="20">
        <f t="shared" si="12"/>
        <v>42.699999999999996</v>
      </c>
      <c r="G85" s="20"/>
      <c r="H85" s="20"/>
      <c r="I85" s="20"/>
      <c r="J85" s="20"/>
      <c r="K85" s="20">
        <v>56</v>
      </c>
      <c r="L85" s="22">
        <f t="shared" si="9"/>
        <v>0</v>
      </c>
      <c r="M85" s="22"/>
      <c r="N85" s="22"/>
      <c r="P85" s="23">
        <f t="shared" si="10"/>
        <v>0</v>
      </c>
      <c r="Q85" s="23"/>
      <c r="X85" s="36">
        <f>42.8-0.1</f>
        <v>42.699999999999996</v>
      </c>
    </row>
    <row r="86" spans="1:24" ht="38.25" x14ac:dyDescent="0.2">
      <c r="A86" s="46" t="s">
        <v>137</v>
      </c>
      <c r="B86" s="26"/>
      <c r="C86" s="49" t="s">
        <v>138</v>
      </c>
      <c r="D86" s="38" t="s">
        <v>113</v>
      </c>
      <c r="E86" s="20">
        <f t="shared" si="11"/>
        <v>1</v>
      </c>
      <c r="F86" s="20">
        <f t="shared" si="12"/>
        <v>0.4</v>
      </c>
      <c r="G86" s="20">
        <f>17-16</f>
        <v>1</v>
      </c>
      <c r="H86" s="20">
        <v>0.4</v>
      </c>
      <c r="I86" s="20"/>
      <c r="J86" s="20"/>
      <c r="K86" s="20"/>
      <c r="L86" s="22">
        <f t="shared" si="9"/>
        <v>-16</v>
      </c>
      <c r="M86" s="22">
        <v>-16</v>
      </c>
      <c r="N86" s="22"/>
      <c r="P86" s="23">
        <f t="shared" si="10"/>
        <v>0</v>
      </c>
      <c r="Q86" s="23"/>
      <c r="X86" s="24"/>
    </row>
    <row r="87" spans="1:24" ht="38.25" x14ac:dyDescent="0.2">
      <c r="A87" s="46" t="s">
        <v>139</v>
      </c>
      <c r="B87" s="26"/>
      <c r="C87" s="49" t="s">
        <v>140</v>
      </c>
      <c r="D87" s="38" t="s">
        <v>130</v>
      </c>
      <c r="E87" s="20">
        <f t="shared" si="11"/>
        <v>24</v>
      </c>
      <c r="F87" s="20">
        <f t="shared" si="12"/>
        <v>13.7</v>
      </c>
      <c r="G87" s="20">
        <v>0.1</v>
      </c>
      <c r="H87" s="57">
        <v>0</v>
      </c>
      <c r="I87" s="20"/>
      <c r="J87" s="20"/>
      <c r="K87" s="20">
        <f>6.9+17</f>
        <v>23.9</v>
      </c>
      <c r="L87" s="22">
        <f t="shared" si="9"/>
        <v>0</v>
      </c>
      <c r="M87" s="22"/>
      <c r="N87" s="22"/>
      <c r="O87" s="22"/>
      <c r="P87" s="23">
        <f t="shared" si="10"/>
        <v>0</v>
      </c>
      <c r="Q87" s="23"/>
      <c r="X87" s="24">
        <v>13.7</v>
      </c>
    </row>
    <row r="88" spans="1:24" ht="21.75" customHeight="1" x14ac:dyDescent="0.2">
      <c r="A88" s="13">
        <v>37</v>
      </c>
      <c r="B88" s="11" t="s">
        <v>141</v>
      </c>
      <c r="C88" s="51" t="s">
        <v>142</v>
      </c>
      <c r="D88" s="12"/>
      <c r="E88" s="58">
        <f t="shared" si="11"/>
        <v>5859.7000000000007</v>
      </c>
      <c r="F88" s="52">
        <f t="shared" si="12"/>
        <v>5094.1000000000004</v>
      </c>
      <c r="G88" s="58">
        <f>+G89+G92+G93+G94+G95+G96+G112+G113+G114+G115+G116+G117+G118+G119+G120+G121+G122</f>
        <v>5652.2000000000007</v>
      </c>
      <c r="H88" s="58">
        <f>+H89+H92+H93+H94+H95+H96+H112+H113+H114+H115+H116+H117+H118+H119+H120+H121+H122</f>
        <v>5019.2000000000007</v>
      </c>
      <c r="I88" s="58">
        <f>+I89+I92+I93+I94+I95+I96+I112+I113+I114+I115+I116+I117+I118+I119+I120+I121+I122</f>
        <v>1772.0000000000002</v>
      </c>
      <c r="J88" s="58">
        <f>+J89+J92+J93+J94+J95+J96+J112+J113+J114+J115+J116+J117+J118+J119+J120+J121+J122</f>
        <v>1767.4</v>
      </c>
      <c r="K88" s="58">
        <f>+K89+K92+K93+K94+K95+K96+K112+K113+K114+K115+K116+K117+K118+K119+K120+K121+K122</f>
        <v>207.5</v>
      </c>
      <c r="L88" s="58">
        <f t="shared" ref="L88:X88" si="14">+L89+L92+L93+L94+L95+L96+L112+L113+L114+L115+L116+L117+L118+L119+L120+L121+L122</f>
        <v>4.5999999999999979</v>
      </c>
      <c r="M88" s="58">
        <f t="shared" si="14"/>
        <v>3.8000000000000007</v>
      </c>
      <c r="N88" s="58">
        <f t="shared" si="14"/>
        <v>7.8999999999999995</v>
      </c>
      <c r="O88" s="58">
        <f t="shared" si="14"/>
        <v>0.8</v>
      </c>
      <c r="P88" s="58">
        <f t="shared" si="14"/>
        <v>0</v>
      </c>
      <c r="Q88" s="58">
        <f t="shared" si="14"/>
        <v>0</v>
      </c>
      <c r="R88" s="58">
        <f t="shared" si="14"/>
        <v>0</v>
      </c>
      <c r="S88" s="58">
        <f t="shared" si="14"/>
        <v>0</v>
      </c>
      <c r="T88" s="58">
        <f t="shared" si="14"/>
        <v>0</v>
      </c>
      <c r="U88" s="58">
        <f t="shared" si="14"/>
        <v>0</v>
      </c>
      <c r="V88" s="58">
        <f t="shared" si="14"/>
        <v>0</v>
      </c>
      <c r="W88" s="58">
        <f t="shared" si="14"/>
        <v>0</v>
      </c>
      <c r="X88" s="58">
        <f t="shared" si="14"/>
        <v>74.900000000000006</v>
      </c>
    </row>
    <row r="89" spans="1:24" ht="15" customHeight="1" x14ac:dyDescent="0.2">
      <c r="A89" s="279">
        <v>38</v>
      </c>
      <c r="B89" s="280"/>
      <c r="C89" s="17" t="s">
        <v>143</v>
      </c>
      <c r="D89" s="275" t="s">
        <v>144</v>
      </c>
      <c r="E89" s="20">
        <f t="shared" si="11"/>
        <v>620.30000000000007</v>
      </c>
      <c r="F89" s="32">
        <f t="shared" si="12"/>
        <v>603.40000000000009</v>
      </c>
      <c r="G89" s="20">
        <f>617.1+3.2-0.8</f>
        <v>619.50000000000011</v>
      </c>
      <c r="H89" s="32">
        <f>602.6+0.1</f>
        <v>602.70000000000005</v>
      </c>
      <c r="I89" s="20">
        <f>413.7+3.2</f>
        <v>416.9</v>
      </c>
      <c r="J89" s="20">
        <v>416.6</v>
      </c>
      <c r="K89" s="20">
        <v>0.8</v>
      </c>
      <c r="L89" s="22">
        <f t="shared" si="9"/>
        <v>0</v>
      </c>
      <c r="M89" s="22">
        <v>-0.8</v>
      </c>
      <c r="N89" s="22"/>
      <c r="O89" s="3">
        <v>0.8</v>
      </c>
      <c r="P89" s="23">
        <f t="shared" si="10"/>
        <v>0</v>
      </c>
      <c r="Q89" s="23"/>
      <c r="X89" s="24">
        <v>0.7</v>
      </c>
    </row>
    <row r="90" spans="1:24" ht="15" customHeight="1" x14ac:dyDescent="0.2">
      <c r="A90" s="279"/>
      <c r="B90" s="280"/>
      <c r="C90" s="59" t="s">
        <v>145</v>
      </c>
      <c r="D90" s="281"/>
      <c r="E90" s="20">
        <f t="shared" si="11"/>
        <v>163.4</v>
      </c>
      <c r="F90" s="20">
        <f t="shared" si="12"/>
        <v>147.1</v>
      </c>
      <c r="G90" s="20">
        <v>163.4</v>
      </c>
      <c r="H90" s="20">
        <v>147.1</v>
      </c>
      <c r="I90" s="20"/>
      <c r="J90" s="20"/>
      <c r="K90" s="20"/>
      <c r="L90" s="22">
        <f t="shared" si="9"/>
        <v>0</v>
      </c>
      <c r="M90" s="22"/>
      <c r="N90" s="22"/>
      <c r="P90" s="23">
        <f t="shared" si="10"/>
        <v>0</v>
      </c>
      <c r="Q90" s="23"/>
      <c r="X90" s="24"/>
    </row>
    <row r="91" spans="1:24" ht="26.45" customHeight="1" x14ac:dyDescent="0.2">
      <c r="A91" s="279"/>
      <c r="B91" s="280"/>
      <c r="C91" s="60" t="s">
        <v>146</v>
      </c>
      <c r="D91" s="276"/>
      <c r="E91" s="20">
        <f t="shared" si="11"/>
        <v>2</v>
      </c>
      <c r="F91" s="20">
        <f t="shared" si="12"/>
        <v>2</v>
      </c>
      <c r="G91" s="20">
        <v>2</v>
      </c>
      <c r="H91" s="20">
        <v>2</v>
      </c>
      <c r="I91" s="20"/>
      <c r="J91" s="20"/>
      <c r="K91" s="20"/>
      <c r="L91" s="22">
        <f t="shared" si="9"/>
        <v>0</v>
      </c>
      <c r="M91" s="22"/>
      <c r="N91" s="22"/>
      <c r="P91" s="23">
        <f t="shared" si="10"/>
        <v>0</v>
      </c>
      <c r="Q91" s="23"/>
      <c r="X91" s="24"/>
    </row>
    <row r="92" spans="1:24" ht="15" customHeight="1" x14ac:dyDescent="0.2">
      <c r="A92" s="13">
        <v>39</v>
      </c>
      <c r="B92" s="16"/>
      <c r="C92" s="61" t="s">
        <v>147</v>
      </c>
      <c r="D92" s="62" t="s">
        <v>148</v>
      </c>
      <c r="E92" s="20">
        <f t="shared" si="11"/>
        <v>191.8</v>
      </c>
      <c r="F92" s="32">
        <f t="shared" si="12"/>
        <v>191.7</v>
      </c>
      <c r="G92" s="20">
        <f>179.5+12.3</f>
        <v>191.8</v>
      </c>
      <c r="H92" s="20">
        <v>191.7</v>
      </c>
      <c r="I92" s="20">
        <f>137+12.1</f>
        <v>149.1</v>
      </c>
      <c r="J92" s="20">
        <v>149.1</v>
      </c>
      <c r="K92" s="20"/>
      <c r="L92" s="22">
        <f t="shared" si="9"/>
        <v>12.3</v>
      </c>
      <c r="M92" s="22">
        <v>12.3</v>
      </c>
      <c r="N92" s="22">
        <v>12.1</v>
      </c>
      <c r="P92" s="23">
        <f t="shared" si="10"/>
        <v>0</v>
      </c>
      <c r="Q92" s="23"/>
      <c r="X92" s="24"/>
    </row>
    <row r="93" spans="1:24" ht="15" customHeight="1" x14ac:dyDescent="0.2">
      <c r="A93" s="13">
        <v>40</v>
      </c>
      <c r="B93" s="16"/>
      <c r="C93" s="39" t="s">
        <v>57</v>
      </c>
      <c r="D93" s="18" t="s">
        <v>149</v>
      </c>
      <c r="E93" s="20">
        <f t="shared" si="11"/>
        <v>121.4</v>
      </c>
      <c r="F93" s="32">
        <f t="shared" si="12"/>
        <v>121.3</v>
      </c>
      <c r="G93" s="20">
        <f>119.9+1.5</f>
        <v>121.4</v>
      </c>
      <c r="H93" s="20">
        <v>121.3</v>
      </c>
      <c r="I93" s="63">
        <f>100.9+1.5+2</f>
        <v>104.4</v>
      </c>
      <c r="J93" s="63">
        <v>104.4</v>
      </c>
      <c r="K93" s="20"/>
      <c r="L93" s="22">
        <f t="shared" si="9"/>
        <v>0</v>
      </c>
      <c r="M93" s="22"/>
      <c r="N93" s="22">
        <v>2</v>
      </c>
      <c r="P93" s="23">
        <f t="shared" si="10"/>
        <v>0</v>
      </c>
      <c r="Q93" s="23"/>
      <c r="X93" s="24"/>
    </row>
    <row r="94" spans="1:24" ht="15" customHeight="1" x14ac:dyDescent="0.2">
      <c r="A94" s="13">
        <v>41</v>
      </c>
      <c r="B94" s="16"/>
      <c r="C94" s="39" t="s">
        <v>58</v>
      </c>
      <c r="D94" s="64" t="s">
        <v>148</v>
      </c>
      <c r="E94" s="20">
        <f t="shared" si="11"/>
        <v>228.2</v>
      </c>
      <c r="F94" s="32">
        <f t="shared" si="12"/>
        <v>228</v>
      </c>
      <c r="G94" s="20">
        <v>228.2</v>
      </c>
      <c r="H94" s="20">
        <v>228</v>
      </c>
      <c r="I94" s="20">
        <v>182.9</v>
      </c>
      <c r="J94" s="20">
        <v>182.9</v>
      </c>
      <c r="K94" s="20"/>
      <c r="L94" s="22">
        <f t="shared" si="9"/>
        <v>0</v>
      </c>
      <c r="M94" s="22"/>
      <c r="N94" s="22"/>
      <c r="P94" s="23">
        <f t="shared" si="10"/>
        <v>0</v>
      </c>
      <c r="Q94" s="23"/>
      <c r="X94" s="24"/>
    </row>
    <row r="95" spans="1:24" ht="15" customHeight="1" x14ac:dyDescent="0.2">
      <c r="A95" s="13">
        <v>42</v>
      </c>
      <c r="B95" s="16"/>
      <c r="C95" s="17" t="s">
        <v>150</v>
      </c>
      <c r="D95" s="62" t="s">
        <v>151</v>
      </c>
      <c r="E95" s="20">
        <f t="shared" si="11"/>
        <v>747.8</v>
      </c>
      <c r="F95" s="32">
        <f t="shared" si="12"/>
        <v>728.8</v>
      </c>
      <c r="G95" s="20">
        <f>677.3+50.8+0.7</f>
        <v>728.8</v>
      </c>
      <c r="H95" s="20">
        <v>728.8</v>
      </c>
      <c r="I95" s="20">
        <f>600.2+11</f>
        <v>611.20000000000005</v>
      </c>
      <c r="J95" s="20">
        <v>611.20000000000005</v>
      </c>
      <c r="K95" s="20">
        <v>19</v>
      </c>
      <c r="L95" s="22">
        <f t="shared" si="9"/>
        <v>0.7</v>
      </c>
      <c r="M95" s="22">
        <v>0.7</v>
      </c>
      <c r="N95" s="22"/>
      <c r="O95" s="22"/>
      <c r="P95" s="23">
        <f t="shared" si="10"/>
        <v>0</v>
      </c>
      <c r="Q95" s="23"/>
      <c r="X95" s="17">
        <v>0</v>
      </c>
    </row>
    <row r="96" spans="1:24" ht="15" customHeight="1" x14ac:dyDescent="0.2">
      <c r="A96" s="13">
        <v>43</v>
      </c>
      <c r="B96" s="16"/>
      <c r="C96" s="40" t="s">
        <v>59</v>
      </c>
      <c r="D96" s="16"/>
      <c r="E96" s="65">
        <f t="shared" si="11"/>
        <v>2204</v>
      </c>
      <c r="F96" s="32">
        <f t="shared" si="12"/>
        <v>1838.2000000000003</v>
      </c>
      <c r="G96" s="65">
        <f>+G97+G98+G99+G100+G101+G102+G103+G104+G105+G106</f>
        <v>2016.3000000000002</v>
      </c>
      <c r="H96" s="65">
        <f>+H97+H98+H99+H100+H101+H102+H103+H104+H105+H106</f>
        <v>1764.0000000000002</v>
      </c>
      <c r="I96" s="65">
        <f>+I97+I98+I99+I100+I101+I102+I103+I104+I105+I106</f>
        <v>47.8</v>
      </c>
      <c r="J96" s="65">
        <f>+J97+J98+J99+J100+J101+J102+J103+J104+J105+J106</f>
        <v>47.7</v>
      </c>
      <c r="K96" s="65">
        <f>+K97+K98+K99+K100+K101+K102+K103+K104+K105+K106</f>
        <v>187.7</v>
      </c>
      <c r="L96" s="22">
        <f t="shared" si="9"/>
        <v>0</v>
      </c>
      <c r="M96" s="22"/>
      <c r="N96" s="22"/>
      <c r="P96" s="23">
        <f t="shared" si="10"/>
        <v>0</v>
      </c>
      <c r="Q96" s="23"/>
      <c r="X96" s="24">
        <v>74.2</v>
      </c>
    </row>
    <row r="97" spans="1:24" ht="72.75" customHeight="1" x14ac:dyDescent="0.2">
      <c r="A97" s="41" t="s">
        <v>152</v>
      </c>
      <c r="B97" s="16"/>
      <c r="C97" s="40" t="s">
        <v>61</v>
      </c>
      <c r="D97" s="66" t="s">
        <v>153</v>
      </c>
      <c r="E97" s="20">
        <f t="shared" si="11"/>
        <v>935.9</v>
      </c>
      <c r="F97" s="32">
        <f t="shared" si="12"/>
        <v>744.7</v>
      </c>
      <c r="G97" s="20">
        <f>943.5-7.6</f>
        <v>935.9</v>
      </c>
      <c r="H97" s="20">
        <v>744.7</v>
      </c>
      <c r="I97" s="20">
        <f>45.4+2.4</f>
        <v>47.8</v>
      </c>
      <c r="J97" s="20">
        <v>47.7</v>
      </c>
      <c r="K97" s="20"/>
      <c r="L97" s="22">
        <f t="shared" si="9"/>
        <v>-7.6</v>
      </c>
      <c r="M97" s="22">
        <v>-7.6</v>
      </c>
      <c r="N97" s="22">
        <v>2.4</v>
      </c>
      <c r="P97" s="23">
        <f t="shared" si="10"/>
        <v>0</v>
      </c>
      <c r="Q97" s="23"/>
      <c r="X97" s="24"/>
    </row>
    <row r="98" spans="1:24" ht="27.6" customHeight="1" x14ac:dyDescent="0.2">
      <c r="A98" s="41" t="s">
        <v>154</v>
      </c>
      <c r="B98" s="16"/>
      <c r="C98" s="48" t="s">
        <v>155</v>
      </c>
      <c r="D98" s="67" t="s">
        <v>156</v>
      </c>
      <c r="E98" s="20">
        <f t="shared" si="11"/>
        <v>50</v>
      </c>
      <c r="F98" s="20">
        <f t="shared" si="12"/>
        <v>43.2</v>
      </c>
      <c r="G98" s="20">
        <v>50</v>
      </c>
      <c r="H98" s="20">
        <v>43.2</v>
      </c>
      <c r="I98" s="20"/>
      <c r="J98" s="20"/>
      <c r="K98" s="20"/>
      <c r="L98" s="22">
        <f t="shared" si="9"/>
        <v>0</v>
      </c>
      <c r="M98" s="22"/>
      <c r="N98" s="22"/>
      <c r="P98" s="23">
        <f t="shared" si="10"/>
        <v>0</v>
      </c>
      <c r="Q98" s="23"/>
      <c r="X98" s="24"/>
    </row>
    <row r="99" spans="1:24" ht="26.25" customHeight="1" x14ac:dyDescent="0.2">
      <c r="A99" s="41" t="s">
        <v>157</v>
      </c>
      <c r="B99" s="16"/>
      <c r="C99" s="55" t="s">
        <v>158</v>
      </c>
      <c r="D99" s="67" t="s">
        <v>156</v>
      </c>
      <c r="E99" s="20">
        <f t="shared" si="11"/>
        <v>70.5</v>
      </c>
      <c r="F99" s="20">
        <f t="shared" si="12"/>
        <v>66.399999999999991</v>
      </c>
      <c r="G99" s="20">
        <v>70.5</v>
      </c>
      <c r="H99" s="32">
        <f>66.3+0.1</f>
        <v>66.399999999999991</v>
      </c>
      <c r="I99" s="20"/>
      <c r="J99" s="20"/>
      <c r="K99" s="20"/>
      <c r="L99" s="22">
        <f t="shared" si="9"/>
        <v>0</v>
      </c>
      <c r="M99" s="22"/>
      <c r="N99" s="22"/>
      <c r="P99" s="23">
        <f t="shared" si="10"/>
        <v>0</v>
      </c>
      <c r="Q99" s="23"/>
      <c r="X99" s="24"/>
    </row>
    <row r="100" spans="1:24" ht="15" customHeight="1" x14ac:dyDescent="0.2">
      <c r="A100" s="41" t="s">
        <v>159</v>
      </c>
      <c r="B100" s="16"/>
      <c r="C100" s="45" t="s">
        <v>160</v>
      </c>
      <c r="D100" s="62" t="s">
        <v>161</v>
      </c>
      <c r="E100" s="20">
        <f t="shared" si="11"/>
        <v>52</v>
      </c>
      <c r="F100" s="20">
        <f t="shared" si="12"/>
        <v>52</v>
      </c>
      <c r="G100" s="20">
        <v>52</v>
      </c>
      <c r="H100" s="20">
        <v>52</v>
      </c>
      <c r="I100" s="20"/>
      <c r="J100" s="20"/>
      <c r="K100" s="20"/>
      <c r="L100" s="22">
        <f t="shared" si="9"/>
        <v>0</v>
      </c>
      <c r="M100" s="22"/>
      <c r="N100" s="22"/>
      <c r="P100" s="23">
        <f t="shared" si="10"/>
        <v>0</v>
      </c>
      <c r="Q100" s="23"/>
      <c r="X100" s="24"/>
    </row>
    <row r="101" spans="1:24" ht="26.25" customHeight="1" x14ac:dyDescent="0.2">
      <c r="A101" s="41" t="s">
        <v>162</v>
      </c>
      <c r="B101" s="16"/>
      <c r="C101" s="45" t="s">
        <v>163</v>
      </c>
      <c r="D101" s="67" t="s">
        <v>161</v>
      </c>
      <c r="E101" s="20">
        <f t="shared" si="11"/>
        <v>125</v>
      </c>
      <c r="F101" s="20">
        <f t="shared" si="12"/>
        <v>124.9</v>
      </c>
      <c r="G101" s="20">
        <f>85+40</f>
        <v>125</v>
      </c>
      <c r="H101" s="20">
        <v>124.9</v>
      </c>
      <c r="I101" s="20"/>
      <c r="J101" s="20"/>
      <c r="K101" s="20"/>
      <c r="L101" s="22">
        <f t="shared" si="9"/>
        <v>0</v>
      </c>
      <c r="M101" s="22"/>
      <c r="N101" s="22"/>
      <c r="P101" s="23">
        <f t="shared" si="10"/>
        <v>0</v>
      </c>
      <c r="Q101" s="23"/>
      <c r="X101" s="24"/>
    </row>
    <row r="102" spans="1:24" ht="39" customHeight="1" x14ac:dyDescent="0.2">
      <c r="A102" s="41" t="s">
        <v>164</v>
      </c>
      <c r="B102" s="16"/>
      <c r="C102" s="45" t="s">
        <v>165</v>
      </c>
      <c r="D102" s="67" t="s">
        <v>166</v>
      </c>
      <c r="E102" s="63">
        <f t="shared" si="11"/>
        <v>600</v>
      </c>
      <c r="F102" s="20">
        <f t="shared" si="12"/>
        <v>558.5</v>
      </c>
      <c r="G102" s="63">
        <f>600</f>
        <v>600</v>
      </c>
      <c r="H102" s="63">
        <v>558.5</v>
      </c>
      <c r="I102" s="63"/>
      <c r="J102" s="63"/>
      <c r="K102" s="63"/>
      <c r="L102" s="22">
        <f t="shared" si="9"/>
        <v>0</v>
      </c>
      <c r="M102" s="22"/>
      <c r="N102" s="22"/>
      <c r="P102" s="23">
        <f t="shared" si="10"/>
        <v>0</v>
      </c>
      <c r="Q102" s="23"/>
      <c r="X102" s="24"/>
    </row>
    <row r="103" spans="1:24" ht="28.5" customHeight="1" x14ac:dyDescent="0.2">
      <c r="A103" s="41" t="s">
        <v>167</v>
      </c>
      <c r="B103" s="16"/>
      <c r="C103" s="45" t="s">
        <v>168</v>
      </c>
      <c r="D103" s="16" t="s">
        <v>169</v>
      </c>
      <c r="E103" s="63">
        <f t="shared" si="11"/>
        <v>44</v>
      </c>
      <c r="F103" s="20">
        <f t="shared" si="12"/>
        <v>44</v>
      </c>
      <c r="G103" s="63">
        <v>44</v>
      </c>
      <c r="H103" s="63">
        <v>44</v>
      </c>
      <c r="I103" s="63"/>
      <c r="J103" s="63"/>
      <c r="K103" s="63"/>
      <c r="L103" s="22">
        <f t="shared" si="9"/>
        <v>0</v>
      </c>
      <c r="M103" s="22"/>
      <c r="N103" s="22"/>
      <c r="P103" s="23">
        <f t="shared" si="10"/>
        <v>0</v>
      </c>
      <c r="Q103" s="23"/>
      <c r="X103" s="24"/>
    </row>
    <row r="104" spans="1:24" ht="28.5" customHeight="1" x14ac:dyDescent="0.2">
      <c r="A104" s="41" t="s">
        <v>170</v>
      </c>
      <c r="B104" s="16"/>
      <c r="C104" s="45" t="s">
        <v>171</v>
      </c>
      <c r="D104" s="16" t="s">
        <v>172</v>
      </c>
      <c r="E104" s="63">
        <f t="shared" si="11"/>
        <v>14.9</v>
      </c>
      <c r="F104" s="20">
        <f t="shared" si="12"/>
        <v>14.9</v>
      </c>
      <c r="G104" s="63">
        <v>14.9</v>
      </c>
      <c r="H104" s="63">
        <v>14.9</v>
      </c>
      <c r="I104" s="63"/>
      <c r="J104" s="63"/>
      <c r="K104" s="63"/>
      <c r="L104" s="22">
        <f t="shared" si="9"/>
        <v>0</v>
      </c>
      <c r="M104" s="22"/>
      <c r="N104" s="22"/>
      <c r="P104" s="23">
        <f t="shared" si="10"/>
        <v>0</v>
      </c>
      <c r="Q104" s="23"/>
      <c r="X104" s="24"/>
    </row>
    <row r="105" spans="1:24" ht="28.5" customHeight="1" x14ac:dyDescent="0.2">
      <c r="A105" s="41" t="s">
        <v>173</v>
      </c>
      <c r="B105" s="16"/>
      <c r="C105" s="45" t="s">
        <v>174</v>
      </c>
      <c r="D105" s="16" t="s">
        <v>175</v>
      </c>
      <c r="E105" s="63">
        <f t="shared" si="11"/>
        <v>8.1999999999999993</v>
      </c>
      <c r="F105" s="20">
        <f t="shared" si="12"/>
        <v>0.5</v>
      </c>
      <c r="G105" s="63">
        <v>8.1999999999999993</v>
      </c>
      <c r="H105" s="63">
        <v>0.5</v>
      </c>
      <c r="I105" s="63"/>
      <c r="J105" s="63"/>
      <c r="K105" s="63"/>
      <c r="L105" s="22">
        <f t="shared" si="9"/>
        <v>0</v>
      </c>
      <c r="M105" s="22"/>
      <c r="N105" s="22"/>
      <c r="P105" s="23">
        <f t="shared" si="10"/>
        <v>0</v>
      </c>
      <c r="Q105" s="23"/>
      <c r="X105" s="24"/>
    </row>
    <row r="106" spans="1:24" ht="39" customHeight="1" x14ac:dyDescent="0.2">
      <c r="A106" s="41" t="s">
        <v>176</v>
      </c>
      <c r="B106" s="16"/>
      <c r="C106" s="43" t="s">
        <v>70</v>
      </c>
      <c r="D106" s="11"/>
      <c r="E106" s="44">
        <f t="shared" si="11"/>
        <v>303.5</v>
      </c>
      <c r="F106" s="53">
        <f t="shared" si="12"/>
        <v>189.1</v>
      </c>
      <c r="G106" s="44">
        <f>+G107+G108+G109+G110+G111</f>
        <v>115.8</v>
      </c>
      <c r="H106" s="44">
        <f>+H107+H108+H109+H110+H111</f>
        <v>114.89999999999999</v>
      </c>
      <c r="I106" s="68">
        <f>+I107+I108+I109+I110+I111</f>
        <v>0</v>
      </c>
      <c r="J106" s="68">
        <f>+J107+J108+J109+J110+J111</f>
        <v>0</v>
      </c>
      <c r="K106" s="44">
        <f>+K107+K108+K109+K110+K111</f>
        <v>187.7</v>
      </c>
      <c r="L106" s="44">
        <f t="shared" ref="L106:X106" si="15">+L107+L108+L109+L110+L111</f>
        <v>3.1</v>
      </c>
      <c r="M106" s="44">
        <f t="shared" si="15"/>
        <v>-0.5</v>
      </c>
      <c r="N106" s="44">
        <f t="shared" si="15"/>
        <v>0</v>
      </c>
      <c r="O106" s="44">
        <f t="shared" si="15"/>
        <v>3.6</v>
      </c>
      <c r="P106" s="44">
        <f t="shared" si="15"/>
        <v>0</v>
      </c>
      <c r="Q106" s="44">
        <f t="shared" si="15"/>
        <v>0</v>
      </c>
      <c r="R106" s="44">
        <f t="shared" si="15"/>
        <v>0</v>
      </c>
      <c r="S106" s="44">
        <f t="shared" si="15"/>
        <v>0</v>
      </c>
      <c r="T106" s="44">
        <f t="shared" si="15"/>
        <v>0</v>
      </c>
      <c r="U106" s="44">
        <f t="shared" si="15"/>
        <v>0</v>
      </c>
      <c r="V106" s="44">
        <f t="shared" si="15"/>
        <v>0</v>
      </c>
      <c r="W106" s="44">
        <f t="shared" si="15"/>
        <v>0</v>
      </c>
      <c r="X106" s="44">
        <f t="shared" si="15"/>
        <v>74.2</v>
      </c>
    </row>
    <row r="107" spans="1:24" ht="25.5" x14ac:dyDescent="0.2">
      <c r="A107" s="41" t="s">
        <v>177</v>
      </c>
      <c r="B107" s="16"/>
      <c r="C107" s="45" t="s">
        <v>178</v>
      </c>
      <c r="D107" s="18" t="s">
        <v>179</v>
      </c>
      <c r="E107" s="63">
        <f t="shared" si="11"/>
        <v>70</v>
      </c>
      <c r="F107" s="20">
        <f t="shared" si="12"/>
        <v>70</v>
      </c>
      <c r="G107" s="63">
        <f>40+30</f>
        <v>70</v>
      </c>
      <c r="H107" s="63">
        <v>70</v>
      </c>
      <c r="I107" s="63"/>
      <c r="J107" s="63"/>
      <c r="K107" s="63"/>
      <c r="L107" s="22">
        <f t="shared" si="9"/>
        <v>0</v>
      </c>
      <c r="M107" s="22"/>
      <c r="N107" s="22"/>
      <c r="P107" s="23">
        <f t="shared" si="10"/>
        <v>0</v>
      </c>
      <c r="Q107" s="23"/>
      <c r="X107" s="24"/>
    </row>
    <row r="108" spans="1:24" ht="15" customHeight="1" x14ac:dyDescent="0.2">
      <c r="A108" s="41" t="s">
        <v>180</v>
      </c>
      <c r="B108" s="16"/>
      <c r="C108" s="45" t="s">
        <v>181</v>
      </c>
      <c r="D108" s="16" t="s">
        <v>169</v>
      </c>
      <c r="E108" s="63">
        <f t="shared" si="11"/>
        <v>40</v>
      </c>
      <c r="F108" s="20">
        <f t="shared" si="12"/>
        <v>39.6</v>
      </c>
      <c r="G108" s="63">
        <v>40</v>
      </c>
      <c r="H108" s="63">
        <v>39.6</v>
      </c>
      <c r="I108" s="63"/>
      <c r="J108" s="63"/>
      <c r="K108" s="63"/>
      <c r="L108" s="22">
        <f t="shared" si="9"/>
        <v>0</v>
      </c>
      <c r="M108" s="22"/>
      <c r="N108" s="22"/>
      <c r="P108" s="23">
        <f t="shared" si="10"/>
        <v>0</v>
      </c>
      <c r="Q108" s="23"/>
      <c r="X108" s="24"/>
    </row>
    <row r="109" spans="1:24" ht="15.6" customHeight="1" x14ac:dyDescent="0.2">
      <c r="A109" s="46" t="s">
        <v>182</v>
      </c>
      <c r="B109" s="26"/>
      <c r="C109" s="45" t="s">
        <v>183</v>
      </c>
      <c r="D109" s="26" t="s">
        <v>184</v>
      </c>
      <c r="E109" s="63">
        <f t="shared" si="11"/>
        <v>20.2</v>
      </c>
      <c r="F109" s="20">
        <f t="shared" si="12"/>
        <v>20.2</v>
      </c>
      <c r="G109" s="63">
        <f>2.2-0.5</f>
        <v>1.7000000000000002</v>
      </c>
      <c r="H109" s="63">
        <v>1.7</v>
      </c>
      <c r="I109" s="63"/>
      <c r="J109" s="63"/>
      <c r="K109" s="63">
        <f>14.9+3.1+0.5</f>
        <v>18.5</v>
      </c>
      <c r="L109" s="22">
        <f t="shared" si="9"/>
        <v>3.1</v>
      </c>
      <c r="M109" s="22">
        <v>-0.5</v>
      </c>
      <c r="N109" s="22"/>
      <c r="O109" s="3">
        <f>3.1+0.5</f>
        <v>3.6</v>
      </c>
      <c r="P109" s="23">
        <f t="shared" si="10"/>
        <v>0</v>
      </c>
      <c r="Q109" s="23"/>
      <c r="X109" s="24">
        <v>18.5</v>
      </c>
    </row>
    <row r="110" spans="1:24" ht="29.45" customHeight="1" x14ac:dyDescent="0.2">
      <c r="A110" s="41" t="s">
        <v>185</v>
      </c>
      <c r="B110" s="26"/>
      <c r="C110" s="45" t="s">
        <v>186</v>
      </c>
      <c r="D110" s="26" t="s">
        <v>148</v>
      </c>
      <c r="E110" s="63">
        <f t="shared" si="11"/>
        <v>170</v>
      </c>
      <c r="F110" s="20">
        <f t="shared" si="12"/>
        <v>56</v>
      </c>
      <c r="G110" s="63">
        <v>0.8</v>
      </c>
      <c r="H110" s="229">
        <f>0.2+0.1</f>
        <v>0.30000000000000004</v>
      </c>
      <c r="I110" s="63"/>
      <c r="J110" s="63"/>
      <c r="K110" s="63">
        <v>169.2</v>
      </c>
      <c r="L110" s="22">
        <f t="shared" si="9"/>
        <v>0</v>
      </c>
      <c r="M110" s="22"/>
      <c r="N110" s="22"/>
      <c r="P110" s="23">
        <f t="shared" si="10"/>
        <v>0</v>
      </c>
      <c r="Q110" s="23"/>
      <c r="X110" s="24">
        <v>55.7</v>
      </c>
    </row>
    <row r="111" spans="1:24" ht="29.45" customHeight="1" x14ac:dyDescent="0.2">
      <c r="A111" s="46" t="s">
        <v>187</v>
      </c>
      <c r="B111" s="26"/>
      <c r="C111" s="45" t="s">
        <v>188</v>
      </c>
      <c r="D111" s="26" t="s">
        <v>189</v>
      </c>
      <c r="E111" s="63">
        <f t="shared" si="11"/>
        <v>3.3</v>
      </c>
      <c r="F111" s="20">
        <f t="shared" si="12"/>
        <v>3.3</v>
      </c>
      <c r="G111" s="63">
        <v>3.3</v>
      </c>
      <c r="H111" s="63">
        <v>3.3</v>
      </c>
      <c r="I111" s="63"/>
      <c r="J111" s="63"/>
      <c r="K111" s="63"/>
      <c r="L111" s="22">
        <f t="shared" si="9"/>
        <v>0</v>
      </c>
      <c r="M111" s="22"/>
      <c r="N111" s="22"/>
      <c r="P111" s="23">
        <f t="shared" si="10"/>
        <v>0</v>
      </c>
      <c r="Q111" s="23"/>
      <c r="X111" s="24"/>
    </row>
    <row r="112" spans="1:24" ht="38.450000000000003" customHeight="1" x14ac:dyDescent="0.2">
      <c r="A112" s="13">
        <v>44</v>
      </c>
      <c r="B112" s="16"/>
      <c r="C112" s="27" t="s">
        <v>190</v>
      </c>
      <c r="D112" s="18" t="s">
        <v>191</v>
      </c>
      <c r="E112" s="20">
        <f t="shared" si="11"/>
        <v>645.69999999999993</v>
      </c>
      <c r="F112" s="20">
        <f t="shared" si="12"/>
        <v>523.6</v>
      </c>
      <c r="G112" s="20">
        <f>640.3+3.5+1.9</f>
        <v>645.69999999999993</v>
      </c>
      <c r="H112" s="32">
        <v>523.6</v>
      </c>
      <c r="I112" s="20">
        <f>56.9+3.4+1.9</f>
        <v>62.199999999999996</v>
      </c>
      <c r="J112" s="20">
        <v>61.5</v>
      </c>
      <c r="K112" s="20"/>
      <c r="L112" s="22">
        <f t="shared" si="9"/>
        <v>5.4</v>
      </c>
      <c r="M112" s="22">
        <f>3.5+1.9</f>
        <v>5.4</v>
      </c>
      <c r="N112" s="22">
        <f>3.4+1.9</f>
        <v>5.3</v>
      </c>
      <c r="P112" s="23">
        <f t="shared" si="10"/>
        <v>0</v>
      </c>
      <c r="Q112" s="23"/>
      <c r="X112" s="24"/>
    </row>
    <row r="113" spans="1:24" ht="38.25" customHeight="1" x14ac:dyDescent="0.2">
      <c r="A113" s="13">
        <v>45</v>
      </c>
      <c r="B113" s="16"/>
      <c r="C113" s="27" t="s">
        <v>192</v>
      </c>
      <c r="D113" s="18" t="s">
        <v>193</v>
      </c>
      <c r="E113" s="20">
        <f t="shared" si="11"/>
        <v>243.60000000000002</v>
      </c>
      <c r="F113" s="20">
        <f t="shared" si="12"/>
        <v>182.5</v>
      </c>
      <c r="G113" s="20">
        <f>247.3-3.7</f>
        <v>243.60000000000002</v>
      </c>
      <c r="H113" s="32">
        <v>182.5</v>
      </c>
      <c r="I113" s="20">
        <f>37.8-2.3</f>
        <v>35.5</v>
      </c>
      <c r="J113" s="20">
        <v>35.5</v>
      </c>
      <c r="K113" s="20"/>
      <c r="L113" s="22">
        <f t="shared" si="9"/>
        <v>-3.7</v>
      </c>
      <c r="M113" s="22">
        <v>-3.7</v>
      </c>
      <c r="N113" s="22">
        <v>-2.2999999999999998</v>
      </c>
      <c r="P113" s="23">
        <f t="shared" si="10"/>
        <v>0</v>
      </c>
      <c r="Q113" s="23"/>
      <c r="X113" s="24"/>
    </row>
    <row r="114" spans="1:24" ht="39.75" customHeight="1" x14ac:dyDescent="0.2">
      <c r="A114" s="13">
        <v>46</v>
      </c>
      <c r="B114" s="16"/>
      <c r="C114" s="27" t="s">
        <v>194</v>
      </c>
      <c r="D114" s="18" t="s">
        <v>191</v>
      </c>
      <c r="E114" s="20">
        <f t="shared" si="11"/>
        <v>129</v>
      </c>
      <c r="F114" s="20">
        <f t="shared" si="12"/>
        <v>117.6</v>
      </c>
      <c r="G114" s="20">
        <f>131.8-2.8</f>
        <v>129</v>
      </c>
      <c r="H114" s="32">
        <v>117.6</v>
      </c>
      <c r="I114" s="20">
        <f>24-2.8</f>
        <v>21.2</v>
      </c>
      <c r="J114" s="20">
        <v>21.1</v>
      </c>
      <c r="K114" s="20"/>
      <c r="L114" s="22">
        <f t="shared" si="9"/>
        <v>-2.8</v>
      </c>
      <c r="M114" s="22">
        <v>-2.8</v>
      </c>
      <c r="N114" s="22">
        <v>-2.8</v>
      </c>
      <c r="P114" s="23">
        <f t="shared" si="10"/>
        <v>0</v>
      </c>
      <c r="Q114" s="23"/>
      <c r="X114" s="24"/>
    </row>
    <row r="115" spans="1:24" ht="39.75" customHeight="1" x14ac:dyDescent="0.2">
      <c r="A115" s="13">
        <v>47</v>
      </c>
      <c r="B115" s="16"/>
      <c r="C115" s="27" t="s">
        <v>195</v>
      </c>
      <c r="D115" s="18" t="s">
        <v>191</v>
      </c>
      <c r="E115" s="20">
        <f t="shared" si="11"/>
        <v>50.6</v>
      </c>
      <c r="F115" s="20">
        <f t="shared" si="12"/>
        <v>46.7</v>
      </c>
      <c r="G115" s="20">
        <f>53.2-2.6</f>
        <v>50.6</v>
      </c>
      <c r="H115" s="32">
        <f>46.7</f>
        <v>46.7</v>
      </c>
      <c r="I115" s="20">
        <f>14-2.6</f>
        <v>11.4</v>
      </c>
      <c r="J115" s="20">
        <v>11.2</v>
      </c>
      <c r="K115" s="20"/>
      <c r="L115" s="22">
        <f t="shared" si="9"/>
        <v>-2.6</v>
      </c>
      <c r="M115" s="22">
        <v>-2.6</v>
      </c>
      <c r="N115" s="22">
        <v>-2.6</v>
      </c>
      <c r="P115" s="23">
        <f t="shared" si="10"/>
        <v>0</v>
      </c>
      <c r="Q115" s="23"/>
      <c r="X115" s="24"/>
    </row>
    <row r="116" spans="1:24" ht="39.75" customHeight="1" x14ac:dyDescent="0.2">
      <c r="A116" s="13">
        <v>48</v>
      </c>
      <c r="B116" s="16"/>
      <c r="C116" s="27" t="s">
        <v>196</v>
      </c>
      <c r="D116" s="18" t="s">
        <v>191</v>
      </c>
      <c r="E116" s="20">
        <f t="shared" si="11"/>
        <v>160.79999999999998</v>
      </c>
      <c r="F116" s="20">
        <f t="shared" si="12"/>
        <v>111.1</v>
      </c>
      <c r="G116" s="20">
        <f>159.7-0.8+1.1+0.8</f>
        <v>160.79999999999998</v>
      </c>
      <c r="H116" s="32">
        <v>111.1</v>
      </c>
      <c r="I116" s="20">
        <f>28.9-0.9+1.1+0.1</f>
        <v>29.200000000000003</v>
      </c>
      <c r="J116" s="20">
        <v>28.8</v>
      </c>
      <c r="K116" s="20"/>
      <c r="L116" s="22">
        <f t="shared" si="9"/>
        <v>1.1000000000000001</v>
      </c>
      <c r="M116" s="22">
        <f>-0.8+1.1+0.8</f>
        <v>1.1000000000000001</v>
      </c>
      <c r="N116" s="22">
        <f>-0.9+1.1+0.1</f>
        <v>0.30000000000000004</v>
      </c>
      <c r="P116" s="23">
        <f t="shared" si="10"/>
        <v>0</v>
      </c>
      <c r="Q116" s="23"/>
      <c r="X116" s="24"/>
    </row>
    <row r="117" spans="1:24" ht="39.75" customHeight="1" x14ac:dyDescent="0.2">
      <c r="A117" s="13">
        <v>49</v>
      </c>
      <c r="B117" s="16"/>
      <c r="C117" s="27" t="s">
        <v>197</v>
      </c>
      <c r="D117" s="18" t="s">
        <v>191</v>
      </c>
      <c r="E117" s="20">
        <f t="shared" si="11"/>
        <v>93.3</v>
      </c>
      <c r="F117" s="20">
        <f t="shared" si="12"/>
        <v>69.2</v>
      </c>
      <c r="G117" s="20">
        <f>93.1+0.2</f>
        <v>93.3</v>
      </c>
      <c r="H117" s="32">
        <v>69.2</v>
      </c>
      <c r="I117" s="20">
        <v>17.600000000000001</v>
      </c>
      <c r="J117" s="20">
        <v>17.600000000000001</v>
      </c>
      <c r="K117" s="20"/>
      <c r="L117" s="22">
        <f t="shared" si="9"/>
        <v>0.2</v>
      </c>
      <c r="M117" s="22">
        <v>0.2</v>
      </c>
      <c r="N117" s="22"/>
      <c r="P117" s="23">
        <f t="shared" si="10"/>
        <v>0</v>
      </c>
      <c r="Q117" s="23"/>
      <c r="X117" s="24"/>
    </row>
    <row r="118" spans="1:24" ht="39.75" customHeight="1" x14ac:dyDescent="0.2">
      <c r="A118" s="13">
        <v>50</v>
      </c>
      <c r="B118" s="16"/>
      <c r="C118" s="40" t="s">
        <v>198</v>
      </c>
      <c r="D118" s="18" t="s">
        <v>191</v>
      </c>
      <c r="E118" s="20">
        <f t="shared" si="11"/>
        <v>85.100000000000009</v>
      </c>
      <c r="F118" s="20">
        <f t="shared" si="12"/>
        <v>67.900000000000006</v>
      </c>
      <c r="G118" s="20">
        <f>84.7+0.4</f>
        <v>85.100000000000009</v>
      </c>
      <c r="H118" s="32">
        <v>67.900000000000006</v>
      </c>
      <c r="I118" s="20">
        <f>11+2.2</f>
        <v>13.2</v>
      </c>
      <c r="J118" s="20">
        <v>12.9</v>
      </c>
      <c r="K118" s="20"/>
      <c r="L118" s="22">
        <f t="shared" si="9"/>
        <v>0.4</v>
      </c>
      <c r="M118" s="22">
        <v>0.4</v>
      </c>
      <c r="N118" s="22">
        <v>2.2000000000000002</v>
      </c>
      <c r="P118" s="23">
        <f t="shared" si="10"/>
        <v>0</v>
      </c>
      <c r="Q118" s="23"/>
      <c r="X118" s="24"/>
    </row>
    <row r="119" spans="1:24" ht="39.6" customHeight="1" x14ac:dyDescent="0.2">
      <c r="A119" s="13">
        <v>51</v>
      </c>
      <c r="B119" s="16"/>
      <c r="C119" s="27" t="s">
        <v>199</v>
      </c>
      <c r="D119" s="18" t="s">
        <v>191</v>
      </c>
      <c r="E119" s="20">
        <f t="shared" si="11"/>
        <v>74</v>
      </c>
      <c r="F119" s="20">
        <f t="shared" si="12"/>
        <v>72.8</v>
      </c>
      <c r="G119" s="20">
        <f>80.7-6.7</f>
        <v>74</v>
      </c>
      <c r="H119" s="32">
        <v>72.8</v>
      </c>
      <c r="I119" s="20">
        <f>25.5-6.3</f>
        <v>19.2</v>
      </c>
      <c r="J119" s="20">
        <v>19.2</v>
      </c>
      <c r="K119" s="20"/>
      <c r="L119" s="22">
        <f t="shared" si="9"/>
        <v>-6.7</v>
      </c>
      <c r="M119" s="22">
        <v>-6.7</v>
      </c>
      <c r="N119" s="22">
        <v>-6.3</v>
      </c>
      <c r="P119" s="23">
        <f t="shared" si="10"/>
        <v>0</v>
      </c>
      <c r="Q119" s="23"/>
      <c r="X119" s="24"/>
    </row>
    <row r="120" spans="1:24" ht="45.6" customHeight="1" x14ac:dyDescent="0.2">
      <c r="A120" s="13">
        <v>52</v>
      </c>
      <c r="B120" s="16"/>
      <c r="C120" s="27" t="s">
        <v>200</v>
      </c>
      <c r="D120" s="18" t="s">
        <v>191</v>
      </c>
      <c r="E120" s="20">
        <f t="shared" si="11"/>
        <v>102.2</v>
      </c>
      <c r="F120" s="20">
        <f t="shared" si="12"/>
        <v>80</v>
      </c>
      <c r="G120" s="20">
        <f>104.4-2.2</f>
        <v>102.2</v>
      </c>
      <c r="H120" s="32">
        <v>80</v>
      </c>
      <c r="I120" s="20">
        <f>15-2.2</f>
        <v>12.8</v>
      </c>
      <c r="J120" s="20">
        <v>12</v>
      </c>
      <c r="K120" s="20"/>
      <c r="L120" s="22">
        <f t="shared" si="9"/>
        <v>-2.2000000000000002</v>
      </c>
      <c r="M120" s="22">
        <v>-2.2000000000000002</v>
      </c>
      <c r="N120" s="22">
        <v>-2.2000000000000002</v>
      </c>
      <c r="P120" s="23">
        <f t="shared" si="10"/>
        <v>0</v>
      </c>
      <c r="Q120" s="23"/>
      <c r="X120" s="24"/>
    </row>
    <row r="121" spans="1:24" ht="39.75" customHeight="1" x14ac:dyDescent="0.2">
      <c r="A121" s="13">
        <v>53</v>
      </c>
      <c r="B121" s="16"/>
      <c r="C121" s="27" t="s">
        <v>201</v>
      </c>
      <c r="D121" s="18" t="s">
        <v>191</v>
      </c>
      <c r="E121" s="20">
        <f t="shared" si="11"/>
        <v>66.5</v>
      </c>
      <c r="F121" s="20">
        <f t="shared" si="12"/>
        <v>44.8</v>
      </c>
      <c r="G121" s="20">
        <f>66.8-0.3</f>
        <v>66.5</v>
      </c>
      <c r="H121" s="32">
        <v>44.8</v>
      </c>
      <c r="I121" s="20">
        <f>11.3-0.3</f>
        <v>11</v>
      </c>
      <c r="J121" s="20">
        <v>11</v>
      </c>
      <c r="K121" s="20"/>
      <c r="L121" s="22">
        <f t="shared" si="9"/>
        <v>-0.3</v>
      </c>
      <c r="M121" s="22">
        <v>-0.3</v>
      </c>
      <c r="N121" s="22">
        <v>-0.3</v>
      </c>
      <c r="P121" s="23">
        <f t="shared" si="10"/>
        <v>0</v>
      </c>
      <c r="Q121" s="23"/>
      <c r="X121" s="24"/>
    </row>
    <row r="122" spans="1:24" ht="39.75" customHeight="1" x14ac:dyDescent="0.2">
      <c r="A122" s="13">
        <v>54</v>
      </c>
      <c r="B122" s="16"/>
      <c r="C122" s="27" t="s">
        <v>202</v>
      </c>
      <c r="D122" s="18" t="s">
        <v>191</v>
      </c>
      <c r="E122" s="20">
        <f t="shared" si="11"/>
        <v>95.4</v>
      </c>
      <c r="F122" s="20">
        <f t="shared" si="12"/>
        <v>66.5</v>
      </c>
      <c r="G122" s="20">
        <f>92.2+0.4+2.8</f>
        <v>95.4</v>
      </c>
      <c r="H122" s="32">
        <v>66.5</v>
      </c>
      <c r="I122" s="20">
        <f>23.5+0.4+2.5</f>
        <v>26.4</v>
      </c>
      <c r="J122" s="20">
        <v>24.7</v>
      </c>
      <c r="K122" s="20"/>
      <c r="L122" s="22">
        <f t="shared" si="9"/>
        <v>2.8</v>
      </c>
      <c r="M122" s="22">
        <v>2.8</v>
      </c>
      <c r="N122" s="22">
        <v>2.5</v>
      </c>
      <c r="P122" s="23">
        <f t="shared" si="10"/>
        <v>0</v>
      </c>
      <c r="Q122" s="23"/>
      <c r="X122" s="24"/>
    </row>
    <row r="123" spans="1:24" ht="20.100000000000001" customHeight="1" x14ac:dyDescent="0.2">
      <c r="A123" s="13">
        <v>55</v>
      </c>
      <c r="B123" s="11" t="s">
        <v>203</v>
      </c>
      <c r="C123" s="51" t="s">
        <v>204</v>
      </c>
      <c r="D123" s="16"/>
      <c r="E123" s="52">
        <f t="shared" si="11"/>
        <v>571.19999999999982</v>
      </c>
      <c r="F123" s="52">
        <f t="shared" si="12"/>
        <v>567.79999999999984</v>
      </c>
      <c r="G123" s="52">
        <f>+G124+G137+G138+G139+G140+G141+G142+G143+G144+G145+G146</f>
        <v>569.0999999999998</v>
      </c>
      <c r="H123" s="52">
        <f>+H124+H137+H138+H139+H140+H141+H142+H143+H144+H145+H146</f>
        <v>566.0999999999998</v>
      </c>
      <c r="I123" s="52">
        <f>+I124+I137+I138+I139+I140+I141+I142+I143+I144+I145+I146</f>
        <v>60.399999999999991</v>
      </c>
      <c r="J123" s="52">
        <f>+J124+J137+J138+J139+J140+J141+J142+J143+J144+J145+J146</f>
        <v>58.299999999999983</v>
      </c>
      <c r="K123" s="52">
        <f>+K124+K137+K138+K139+K140+K141+K142+K143+K144+K145+K146</f>
        <v>2.0999999999999996</v>
      </c>
      <c r="L123" s="52">
        <f t="shared" ref="L123:X123" si="16">+L124+L137+L138+L139+L140+L141+L142+L143+L144+L145+L146</f>
        <v>-1.9999999999999998</v>
      </c>
      <c r="M123" s="52">
        <f t="shared" si="16"/>
        <v>2.4000000000000008</v>
      </c>
      <c r="N123" s="52">
        <f t="shared" si="16"/>
        <v>2.1000000000000005</v>
      </c>
      <c r="O123" s="52">
        <f t="shared" si="16"/>
        <v>-4.4000000000000004</v>
      </c>
      <c r="P123" s="52">
        <f t="shared" si="16"/>
        <v>0</v>
      </c>
      <c r="Q123" s="52">
        <f t="shared" si="16"/>
        <v>0</v>
      </c>
      <c r="R123" s="52">
        <f t="shared" si="16"/>
        <v>0</v>
      </c>
      <c r="S123" s="52">
        <f t="shared" si="16"/>
        <v>0</v>
      </c>
      <c r="T123" s="52">
        <f t="shared" si="16"/>
        <v>0</v>
      </c>
      <c r="U123" s="52">
        <f t="shared" si="16"/>
        <v>0</v>
      </c>
      <c r="V123" s="52">
        <f t="shared" si="16"/>
        <v>0</v>
      </c>
      <c r="W123" s="52">
        <f t="shared" si="16"/>
        <v>0</v>
      </c>
      <c r="X123" s="52">
        <f t="shared" si="16"/>
        <v>1.7</v>
      </c>
    </row>
    <row r="124" spans="1:24" ht="12.6" customHeight="1" x14ac:dyDescent="0.2">
      <c r="A124" s="13">
        <v>56</v>
      </c>
      <c r="B124" s="11"/>
      <c r="C124" s="40" t="s">
        <v>59</v>
      </c>
      <c r="D124" s="16"/>
      <c r="E124" s="20">
        <f t="shared" si="11"/>
        <v>553.79999999999995</v>
      </c>
      <c r="F124" s="20">
        <f t="shared" si="12"/>
        <v>551.30000000000007</v>
      </c>
      <c r="G124" s="20">
        <f>+G125+G126+G132+G133+G134</f>
        <v>551.69999999999993</v>
      </c>
      <c r="H124" s="20">
        <f>+H125+H126+H132+H133+H134</f>
        <v>549.6</v>
      </c>
      <c r="I124" s="20">
        <f>+I125+I126+I132+I133+I134</f>
        <v>43.800000000000004</v>
      </c>
      <c r="J124" s="20">
        <f>+J125+J126+J132+J133+J134</f>
        <v>42</v>
      </c>
      <c r="K124" s="20">
        <f>+K125+K126+K132+K133+K134</f>
        <v>2.0999999999999996</v>
      </c>
      <c r="L124" s="20">
        <f t="shared" ref="L124:X124" si="17">+L125+L126+L132+L133+L134</f>
        <v>-0.39999999999999991</v>
      </c>
      <c r="M124" s="20">
        <f t="shared" si="17"/>
        <v>4</v>
      </c>
      <c r="N124" s="20">
        <f t="shared" si="17"/>
        <v>3.6</v>
      </c>
      <c r="O124" s="20">
        <f t="shared" si="17"/>
        <v>-4.4000000000000004</v>
      </c>
      <c r="P124" s="20">
        <f t="shared" si="17"/>
        <v>0</v>
      </c>
      <c r="Q124" s="20">
        <f t="shared" si="17"/>
        <v>0</v>
      </c>
      <c r="R124" s="20">
        <f t="shared" si="17"/>
        <v>0</v>
      </c>
      <c r="S124" s="20">
        <f t="shared" si="17"/>
        <v>0</v>
      </c>
      <c r="T124" s="20">
        <f t="shared" si="17"/>
        <v>0</v>
      </c>
      <c r="U124" s="20">
        <f t="shared" si="17"/>
        <v>0</v>
      </c>
      <c r="V124" s="20">
        <f t="shared" si="17"/>
        <v>0</v>
      </c>
      <c r="W124" s="20">
        <f t="shared" si="17"/>
        <v>0</v>
      </c>
      <c r="X124" s="20">
        <f t="shared" si="17"/>
        <v>1.7</v>
      </c>
    </row>
    <row r="125" spans="1:24" ht="14.25" customHeight="1" x14ac:dyDescent="0.2">
      <c r="A125" s="41" t="s">
        <v>205</v>
      </c>
      <c r="B125" s="16"/>
      <c r="C125" s="40" t="s">
        <v>61</v>
      </c>
      <c r="D125" s="16" t="s">
        <v>206</v>
      </c>
      <c r="E125" s="20">
        <f t="shared" si="11"/>
        <v>102.39999999999999</v>
      </c>
      <c r="F125" s="20">
        <f t="shared" si="12"/>
        <v>100.5</v>
      </c>
      <c r="G125" s="20">
        <f>98.8+3.6</f>
        <v>102.39999999999999</v>
      </c>
      <c r="H125" s="20">
        <v>100.5</v>
      </c>
      <c r="I125" s="20">
        <f>40.2+3.6</f>
        <v>43.800000000000004</v>
      </c>
      <c r="J125" s="20">
        <v>42</v>
      </c>
      <c r="K125" s="20"/>
      <c r="L125" s="22">
        <f t="shared" si="9"/>
        <v>3.6</v>
      </c>
      <c r="M125" s="22">
        <v>3.6</v>
      </c>
      <c r="N125" s="22">
        <v>3.6</v>
      </c>
      <c r="P125" s="23">
        <f t="shared" si="10"/>
        <v>0</v>
      </c>
      <c r="Q125" s="23"/>
      <c r="X125" s="24"/>
    </row>
    <row r="126" spans="1:24" ht="14.25" customHeight="1" x14ac:dyDescent="0.2">
      <c r="A126" s="277" t="s">
        <v>207</v>
      </c>
      <c r="B126" s="262"/>
      <c r="C126" s="55" t="s">
        <v>208</v>
      </c>
      <c r="D126" s="262" t="s">
        <v>209</v>
      </c>
      <c r="E126" s="20">
        <f t="shared" si="11"/>
        <v>400</v>
      </c>
      <c r="F126" s="20">
        <f t="shared" si="12"/>
        <v>400</v>
      </c>
      <c r="G126" s="20">
        <f>+G127+G128+G129+G130+G131</f>
        <v>400</v>
      </c>
      <c r="H126" s="20">
        <v>400</v>
      </c>
      <c r="I126" s="20">
        <f>+I127+I128+I129+I130+I131</f>
        <v>0</v>
      </c>
      <c r="J126" s="20"/>
      <c r="K126" s="20">
        <f>+K127+K128+K129+K130+K131</f>
        <v>0</v>
      </c>
      <c r="L126" s="22">
        <f t="shared" si="9"/>
        <v>0</v>
      </c>
      <c r="M126" s="22"/>
      <c r="N126" s="22"/>
      <c r="P126" s="23">
        <f t="shared" si="10"/>
        <v>0</v>
      </c>
      <c r="Q126" s="23"/>
      <c r="X126" s="24"/>
    </row>
    <row r="127" spans="1:24" ht="26.25" customHeight="1" x14ac:dyDescent="0.2">
      <c r="A127" s="282"/>
      <c r="B127" s="283"/>
      <c r="C127" s="69" t="s">
        <v>210</v>
      </c>
      <c r="D127" s="283"/>
      <c r="E127" s="20">
        <f t="shared" si="11"/>
        <v>183</v>
      </c>
      <c r="F127" s="20">
        <f t="shared" si="12"/>
        <v>183</v>
      </c>
      <c r="G127" s="20">
        <v>183</v>
      </c>
      <c r="H127" s="20">
        <v>183</v>
      </c>
      <c r="I127" s="20"/>
      <c r="J127" s="20"/>
      <c r="K127" s="20"/>
      <c r="L127" s="22">
        <f t="shared" si="9"/>
        <v>0</v>
      </c>
      <c r="M127" s="22"/>
      <c r="N127" s="22"/>
      <c r="P127" s="23">
        <f t="shared" si="10"/>
        <v>0</v>
      </c>
      <c r="Q127" s="23"/>
      <c r="X127" s="24"/>
    </row>
    <row r="128" spans="1:24" ht="13.5" customHeight="1" x14ac:dyDescent="0.2">
      <c r="A128" s="282"/>
      <c r="B128" s="283"/>
      <c r="C128" s="69" t="s">
        <v>211</v>
      </c>
      <c r="D128" s="283"/>
      <c r="E128" s="20">
        <f t="shared" si="11"/>
        <v>100</v>
      </c>
      <c r="F128" s="20">
        <f t="shared" si="12"/>
        <v>100</v>
      </c>
      <c r="G128" s="20">
        <v>100</v>
      </c>
      <c r="H128" s="20">
        <v>100</v>
      </c>
      <c r="I128" s="20"/>
      <c r="J128" s="20"/>
      <c r="K128" s="20"/>
      <c r="L128" s="22">
        <f t="shared" si="9"/>
        <v>0</v>
      </c>
      <c r="M128" s="22"/>
      <c r="N128" s="22"/>
      <c r="P128" s="23">
        <f t="shared" si="10"/>
        <v>0</v>
      </c>
      <c r="Q128" s="23"/>
      <c r="X128" s="24"/>
    </row>
    <row r="129" spans="1:24" ht="13.5" customHeight="1" x14ac:dyDescent="0.2">
      <c r="A129" s="282"/>
      <c r="B129" s="283"/>
      <c r="C129" s="69" t="s">
        <v>212</v>
      </c>
      <c r="D129" s="283"/>
      <c r="E129" s="20">
        <f t="shared" si="11"/>
        <v>12</v>
      </c>
      <c r="F129" s="20">
        <f t="shared" si="12"/>
        <v>12</v>
      </c>
      <c r="G129" s="20">
        <v>12</v>
      </c>
      <c r="H129" s="20">
        <v>12</v>
      </c>
      <c r="I129" s="20"/>
      <c r="J129" s="20"/>
      <c r="K129" s="20"/>
      <c r="L129" s="22">
        <f t="shared" si="9"/>
        <v>0</v>
      </c>
      <c r="M129" s="22"/>
      <c r="N129" s="22"/>
      <c r="P129" s="23">
        <f t="shared" si="10"/>
        <v>0</v>
      </c>
      <c r="Q129" s="23"/>
      <c r="X129" s="24"/>
    </row>
    <row r="130" spans="1:24" ht="26.25" customHeight="1" x14ac:dyDescent="0.2">
      <c r="A130" s="282"/>
      <c r="B130" s="283"/>
      <c r="C130" s="69" t="s">
        <v>213</v>
      </c>
      <c r="D130" s="283"/>
      <c r="E130" s="20">
        <f t="shared" si="11"/>
        <v>95</v>
      </c>
      <c r="F130" s="20">
        <f t="shared" si="12"/>
        <v>95</v>
      </c>
      <c r="G130" s="20">
        <v>95</v>
      </c>
      <c r="H130" s="20">
        <v>95</v>
      </c>
      <c r="I130" s="20"/>
      <c r="J130" s="20"/>
      <c r="K130" s="20"/>
      <c r="L130" s="22">
        <f t="shared" si="9"/>
        <v>0</v>
      </c>
      <c r="M130" s="22"/>
      <c r="N130" s="22"/>
      <c r="P130" s="23">
        <f t="shared" si="10"/>
        <v>0</v>
      </c>
      <c r="Q130" s="23"/>
      <c r="X130" s="24"/>
    </row>
    <row r="131" spans="1:24" x14ac:dyDescent="0.2">
      <c r="A131" s="278"/>
      <c r="B131" s="263"/>
      <c r="C131" s="69" t="s">
        <v>214</v>
      </c>
      <c r="D131" s="263"/>
      <c r="E131" s="20">
        <f t="shared" si="11"/>
        <v>10</v>
      </c>
      <c r="F131" s="20">
        <f t="shared" si="12"/>
        <v>10</v>
      </c>
      <c r="G131" s="20">
        <v>10</v>
      </c>
      <c r="H131" s="20">
        <v>10</v>
      </c>
      <c r="I131" s="20"/>
      <c r="J131" s="20"/>
      <c r="K131" s="20"/>
      <c r="L131" s="22">
        <f t="shared" si="9"/>
        <v>0</v>
      </c>
      <c r="M131" s="22"/>
      <c r="N131" s="22"/>
      <c r="P131" s="23">
        <f t="shared" si="10"/>
        <v>0</v>
      </c>
      <c r="Q131" s="23"/>
      <c r="X131" s="24"/>
    </row>
    <row r="132" spans="1:24" ht="24" customHeight="1" x14ac:dyDescent="0.2">
      <c r="A132" s="41" t="s">
        <v>215</v>
      </c>
      <c r="B132" s="16"/>
      <c r="C132" s="55" t="s">
        <v>216</v>
      </c>
      <c r="D132" s="16" t="s">
        <v>209</v>
      </c>
      <c r="E132" s="20">
        <f t="shared" si="11"/>
        <v>25</v>
      </c>
      <c r="F132" s="20">
        <f t="shared" si="12"/>
        <v>25</v>
      </c>
      <c r="G132" s="20">
        <v>25</v>
      </c>
      <c r="H132" s="20">
        <v>25</v>
      </c>
      <c r="I132" s="20"/>
      <c r="J132" s="20"/>
      <c r="K132" s="20"/>
      <c r="L132" s="22">
        <f t="shared" si="9"/>
        <v>0</v>
      </c>
      <c r="M132" s="22"/>
      <c r="N132" s="22"/>
      <c r="P132" s="23">
        <f t="shared" si="10"/>
        <v>0</v>
      </c>
      <c r="Q132" s="23"/>
      <c r="X132" s="24"/>
    </row>
    <row r="133" spans="1:24" ht="27" customHeight="1" x14ac:dyDescent="0.2">
      <c r="A133" s="41" t="s">
        <v>217</v>
      </c>
      <c r="B133" s="16"/>
      <c r="C133" s="55" t="s">
        <v>218</v>
      </c>
      <c r="D133" s="16" t="s">
        <v>209</v>
      </c>
      <c r="E133" s="20">
        <f t="shared" si="11"/>
        <v>1.4</v>
      </c>
      <c r="F133" s="20">
        <f t="shared" si="12"/>
        <v>1.4</v>
      </c>
      <c r="G133" s="20">
        <v>1.4</v>
      </c>
      <c r="H133" s="57">
        <v>1.4</v>
      </c>
      <c r="I133" s="20"/>
      <c r="J133" s="20"/>
      <c r="K133" s="20"/>
      <c r="L133" s="22">
        <f t="shared" si="9"/>
        <v>0</v>
      </c>
      <c r="M133" s="22"/>
      <c r="N133" s="22"/>
      <c r="P133" s="23">
        <f t="shared" si="10"/>
        <v>0</v>
      </c>
      <c r="Q133" s="23"/>
      <c r="X133" s="24"/>
    </row>
    <row r="134" spans="1:24" ht="42" customHeight="1" x14ac:dyDescent="0.2">
      <c r="A134" s="41" t="s">
        <v>219</v>
      </c>
      <c r="B134" s="16"/>
      <c r="C134" s="43" t="s">
        <v>70</v>
      </c>
      <c r="D134" s="11"/>
      <c r="E134" s="53">
        <f t="shared" si="11"/>
        <v>25</v>
      </c>
      <c r="F134" s="53">
        <f t="shared" si="12"/>
        <v>24.4</v>
      </c>
      <c r="G134" s="53">
        <f>+G135+G136</f>
        <v>22.9</v>
      </c>
      <c r="H134" s="53">
        <f>+H135+H136</f>
        <v>22.7</v>
      </c>
      <c r="I134" s="70">
        <f>+I135+I136</f>
        <v>0</v>
      </c>
      <c r="J134" s="70">
        <f>+J135+J136</f>
        <v>0</v>
      </c>
      <c r="K134" s="53">
        <f>+K135+K136</f>
        <v>2.0999999999999996</v>
      </c>
      <c r="L134" s="53">
        <f t="shared" ref="L134:X134" si="18">+L135+L136</f>
        <v>-4</v>
      </c>
      <c r="M134" s="53">
        <f t="shared" si="18"/>
        <v>0.4</v>
      </c>
      <c r="N134" s="53">
        <f t="shared" si="18"/>
        <v>0</v>
      </c>
      <c r="O134" s="53">
        <f t="shared" si="18"/>
        <v>-4.4000000000000004</v>
      </c>
      <c r="P134" s="53">
        <f t="shared" si="18"/>
        <v>0</v>
      </c>
      <c r="Q134" s="53">
        <f t="shared" si="18"/>
        <v>0</v>
      </c>
      <c r="R134" s="53">
        <f t="shared" si="18"/>
        <v>0</v>
      </c>
      <c r="S134" s="53">
        <f t="shared" si="18"/>
        <v>0</v>
      </c>
      <c r="T134" s="53">
        <f t="shared" si="18"/>
        <v>0</v>
      </c>
      <c r="U134" s="53">
        <f t="shared" si="18"/>
        <v>0</v>
      </c>
      <c r="V134" s="53">
        <f t="shared" si="18"/>
        <v>0</v>
      </c>
      <c r="W134" s="53">
        <f t="shared" si="18"/>
        <v>0</v>
      </c>
      <c r="X134" s="53">
        <f t="shared" si="18"/>
        <v>1.7</v>
      </c>
    </row>
    <row r="135" spans="1:24" ht="25.5" x14ac:dyDescent="0.2">
      <c r="A135" s="71" t="s">
        <v>220</v>
      </c>
      <c r="B135" s="16"/>
      <c r="C135" s="49" t="s">
        <v>221</v>
      </c>
      <c r="D135" s="16" t="s">
        <v>222</v>
      </c>
      <c r="E135" s="20">
        <f t="shared" si="11"/>
        <v>20</v>
      </c>
      <c r="F135" s="20">
        <f t="shared" si="12"/>
        <v>19.899999999999999</v>
      </c>
      <c r="G135" s="20">
        <v>20</v>
      </c>
      <c r="H135" s="20">
        <v>19.899999999999999</v>
      </c>
      <c r="I135" s="20"/>
      <c r="J135" s="20"/>
      <c r="K135" s="20"/>
      <c r="L135" s="22">
        <f t="shared" si="9"/>
        <v>0</v>
      </c>
      <c r="M135" s="22"/>
      <c r="N135" s="22"/>
      <c r="P135" s="23">
        <f t="shared" si="10"/>
        <v>0</v>
      </c>
      <c r="Q135" s="23"/>
      <c r="X135" s="24"/>
    </row>
    <row r="136" spans="1:24" ht="25.5" x14ac:dyDescent="0.2">
      <c r="A136" s="46" t="s">
        <v>223</v>
      </c>
      <c r="B136" s="26"/>
      <c r="C136" s="27" t="s">
        <v>224</v>
      </c>
      <c r="D136" s="26" t="s">
        <v>50</v>
      </c>
      <c r="E136" s="20">
        <f t="shared" si="11"/>
        <v>5</v>
      </c>
      <c r="F136" s="20">
        <f t="shared" si="12"/>
        <v>4.5</v>
      </c>
      <c r="G136" s="20">
        <f>1+1+0.5+0.4</f>
        <v>2.9</v>
      </c>
      <c r="H136" s="20">
        <v>2.8</v>
      </c>
      <c r="I136" s="20"/>
      <c r="J136" s="20"/>
      <c r="K136" s="20">
        <f>8-1-0.5-0.4-4</f>
        <v>2.0999999999999996</v>
      </c>
      <c r="L136" s="22">
        <f t="shared" si="9"/>
        <v>-4</v>
      </c>
      <c r="M136" s="22">
        <v>0.4</v>
      </c>
      <c r="N136" s="22"/>
      <c r="O136" s="3">
        <f>-0.4-4</f>
        <v>-4.4000000000000004</v>
      </c>
      <c r="P136" s="23">
        <f t="shared" si="10"/>
        <v>0</v>
      </c>
      <c r="Q136" s="23"/>
      <c r="X136" s="24">
        <v>1.7</v>
      </c>
    </row>
    <row r="137" spans="1:24" ht="27" customHeight="1" x14ac:dyDescent="0.2">
      <c r="A137" s="13">
        <v>57</v>
      </c>
      <c r="B137" s="16"/>
      <c r="C137" s="27" t="s">
        <v>192</v>
      </c>
      <c r="D137" s="16" t="s">
        <v>209</v>
      </c>
      <c r="E137" s="20">
        <f t="shared" si="11"/>
        <v>1.5</v>
      </c>
      <c r="F137" s="20">
        <f t="shared" si="12"/>
        <v>1.4</v>
      </c>
      <c r="G137" s="20">
        <f>1.8-0.3</f>
        <v>1.5</v>
      </c>
      <c r="H137" s="20">
        <v>1.4</v>
      </c>
      <c r="I137" s="20">
        <f>1.7-0.3</f>
        <v>1.4</v>
      </c>
      <c r="J137" s="20">
        <v>1.4</v>
      </c>
      <c r="K137" s="20"/>
      <c r="L137" s="22">
        <f t="shared" si="9"/>
        <v>-0.3</v>
      </c>
      <c r="M137" s="22">
        <v>-0.3</v>
      </c>
      <c r="N137" s="22">
        <v>-0.3</v>
      </c>
      <c r="P137" s="23">
        <f t="shared" si="10"/>
        <v>0</v>
      </c>
      <c r="Q137" s="23"/>
      <c r="X137" s="24"/>
    </row>
    <row r="138" spans="1:24" ht="27" customHeight="1" x14ac:dyDescent="0.2">
      <c r="A138" s="13">
        <v>58</v>
      </c>
      <c r="B138" s="16"/>
      <c r="C138" s="27" t="s">
        <v>194</v>
      </c>
      <c r="D138" s="16" t="s">
        <v>209</v>
      </c>
      <c r="E138" s="20">
        <f t="shared" si="11"/>
        <v>1.4</v>
      </c>
      <c r="F138" s="20">
        <f t="shared" si="12"/>
        <v>1.4</v>
      </c>
      <c r="G138" s="20">
        <f>1.9-0.5</f>
        <v>1.4</v>
      </c>
      <c r="H138" s="20">
        <v>1.4</v>
      </c>
      <c r="I138" s="20">
        <f>1.8-0.5</f>
        <v>1.3</v>
      </c>
      <c r="J138" s="20">
        <v>1.3</v>
      </c>
      <c r="K138" s="20"/>
      <c r="L138" s="22">
        <f t="shared" si="9"/>
        <v>-0.5</v>
      </c>
      <c r="M138" s="22">
        <v>-0.5</v>
      </c>
      <c r="N138" s="22">
        <v>-0.5</v>
      </c>
      <c r="P138" s="23">
        <f t="shared" si="10"/>
        <v>0</v>
      </c>
      <c r="Q138" s="23"/>
      <c r="X138" s="24"/>
    </row>
    <row r="139" spans="1:24" ht="27" customHeight="1" x14ac:dyDescent="0.2">
      <c r="A139" s="13">
        <v>59</v>
      </c>
      <c r="B139" s="16"/>
      <c r="C139" s="40" t="s">
        <v>195</v>
      </c>
      <c r="D139" s="16" t="s">
        <v>209</v>
      </c>
      <c r="E139" s="20">
        <f t="shared" si="11"/>
        <v>0.9</v>
      </c>
      <c r="F139" s="20">
        <f t="shared" si="12"/>
        <v>0.9</v>
      </c>
      <c r="G139" s="20">
        <f>1.8-0.9</f>
        <v>0.9</v>
      </c>
      <c r="H139" s="20">
        <v>0.9</v>
      </c>
      <c r="I139" s="20">
        <f>1.8-0.9</f>
        <v>0.9</v>
      </c>
      <c r="J139" s="20">
        <v>0.9</v>
      </c>
      <c r="K139" s="20"/>
      <c r="L139" s="22">
        <f t="shared" si="9"/>
        <v>-0.9</v>
      </c>
      <c r="M139" s="22">
        <v>-0.9</v>
      </c>
      <c r="N139" s="22">
        <v>-0.9</v>
      </c>
      <c r="P139" s="23">
        <f t="shared" si="10"/>
        <v>0</v>
      </c>
      <c r="Q139" s="23"/>
      <c r="X139" s="24"/>
    </row>
    <row r="140" spans="1:24" ht="26.25" customHeight="1" x14ac:dyDescent="0.2">
      <c r="A140" s="13">
        <v>60</v>
      </c>
      <c r="B140" s="16"/>
      <c r="C140" s="27" t="s">
        <v>196</v>
      </c>
      <c r="D140" s="16" t="s">
        <v>209</v>
      </c>
      <c r="E140" s="20">
        <f t="shared" si="11"/>
        <v>2</v>
      </c>
      <c r="F140" s="20">
        <f t="shared" si="12"/>
        <v>1.9</v>
      </c>
      <c r="G140" s="20">
        <v>2</v>
      </c>
      <c r="H140" s="20">
        <v>1.9</v>
      </c>
      <c r="I140" s="20">
        <v>2</v>
      </c>
      <c r="J140" s="20">
        <v>1.9</v>
      </c>
      <c r="K140" s="20"/>
      <c r="L140" s="22">
        <f t="shared" si="9"/>
        <v>0</v>
      </c>
      <c r="M140" s="22"/>
      <c r="N140" s="22"/>
      <c r="P140" s="23">
        <f t="shared" si="10"/>
        <v>0</v>
      </c>
      <c r="Q140" s="23"/>
      <c r="X140" s="24"/>
    </row>
    <row r="141" spans="1:24" ht="27.75" customHeight="1" x14ac:dyDescent="0.2">
      <c r="A141" s="13">
        <v>61</v>
      </c>
      <c r="B141" s="16"/>
      <c r="C141" s="27" t="s">
        <v>197</v>
      </c>
      <c r="D141" s="16" t="s">
        <v>209</v>
      </c>
      <c r="E141" s="20">
        <f t="shared" si="11"/>
        <v>1.9000000000000001</v>
      </c>
      <c r="F141" s="20">
        <f t="shared" si="12"/>
        <v>1.9</v>
      </c>
      <c r="G141" s="20">
        <f>1.8+0.1</f>
        <v>1.9000000000000001</v>
      </c>
      <c r="H141" s="20">
        <v>1.9</v>
      </c>
      <c r="I141" s="20">
        <f>1.7+0.1</f>
        <v>1.8</v>
      </c>
      <c r="J141" s="20">
        <v>1.8</v>
      </c>
      <c r="K141" s="20"/>
      <c r="L141" s="22">
        <f t="shared" si="9"/>
        <v>0.1</v>
      </c>
      <c r="M141" s="22">
        <v>0.1</v>
      </c>
      <c r="N141" s="22">
        <v>0.1</v>
      </c>
      <c r="P141" s="23">
        <f t="shared" si="10"/>
        <v>0</v>
      </c>
      <c r="Q141" s="23"/>
      <c r="X141" s="24"/>
    </row>
    <row r="142" spans="1:24" ht="26.25" customHeight="1" x14ac:dyDescent="0.2">
      <c r="A142" s="13">
        <v>62</v>
      </c>
      <c r="B142" s="16"/>
      <c r="C142" s="40" t="s">
        <v>198</v>
      </c>
      <c r="D142" s="16" t="s">
        <v>209</v>
      </c>
      <c r="E142" s="20">
        <f t="shared" si="11"/>
        <v>1.9</v>
      </c>
      <c r="F142" s="20">
        <f t="shared" si="12"/>
        <v>1.8</v>
      </c>
      <c r="G142" s="20">
        <v>1.9</v>
      </c>
      <c r="H142" s="20">
        <v>1.8</v>
      </c>
      <c r="I142" s="20">
        <v>1.8</v>
      </c>
      <c r="J142" s="20">
        <v>1.8</v>
      </c>
      <c r="K142" s="20"/>
      <c r="L142" s="22">
        <f t="shared" ref="L142:L198" si="19">+M142+O142</f>
        <v>0</v>
      </c>
      <c r="M142" s="22"/>
      <c r="N142" s="22"/>
      <c r="P142" s="23">
        <f t="shared" ref="P142:P198" si="20">+Q142+W142</f>
        <v>0</v>
      </c>
      <c r="Q142" s="23"/>
      <c r="X142" s="24"/>
    </row>
    <row r="143" spans="1:24" ht="27" customHeight="1" x14ac:dyDescent="0.2">
      <c r="A143" s="13">
        <v>63</v>
      </c>
      <c r="B143" s="16"/>
      <c r="C143" s="27" t="s">
        <v>199</v>
      </c>
      <c r="D143" s="16" t="s">
        <v>209</v>
      </c>
      <c r="E143" s="20">
        <f t="shared" ref="E143:E206" si="21">+G143+K143</f>
        <v>2.3000000000000003</v>
      </c>
      <c r="F143" s="20">
        <f t="shared" ref="F143:F206" si="22">+H143+X143</f>
        <v>2.2000000000000002</v>
      </c>
      <c r="G143" s="20">
        <f>2.2+0.1</f>
        <v>2.3000000000000003</v>
      </c>
      <c r="H143" s="20">
        <v>2.2000000000000002</v>
      </c>
      <c r="I143" s="20">
        <f>2+0.2</f>
        <v>2.2000000000000002</v>
      </c>
      <c r="J143" s="20">
        <v>2.2000000000000002</v>
      </c>
      <c r="K143" s="20"/>
      <c r="L143" s="22">
        <f t="shared" si="19"/>
        <v>0.1</v>
      </c>
      <c r="M143" s="22">
        <v>0.1</v>
      </c>
      <c r="N143" s="22">
        <v>0.2</v>
      </c>
      <c r="P143" s="23">
        <f t="shared" si="20"/>
        <v>0</v>
      </c>
      <c r="Q143" s="23"/>
      <c r="X143" s="24"/>
    </row>
    <row r="144" spans="1:24" ht="29.25" customHeight="1" x14ac:dyDescent="0.2">
      <c r="A144" s="13">
        <v>64</v>
      </c>
      <c r="B144" s="16"/>
      <c r="C144" s="27" t="s">
        <v>225</v>
      </c>
      <c r="D144" s="16" t="s">
        <v>209</v>
      </c>
      <c r="E144" s="20">
        <f t="shared" si="21"/>
        <v>1.5</v>
      </c>
      <c r="F144" s="20">
        <f t="shared" si="22"/>
        <v>1.3</v>
      </c>
      <c r="G144" s="20">
        <f>1.8-0.3</f>
        <v>1.5</v>
      </c>
      <c r="H144" s="20">
        <v>1.3</v>
      </c>
      <c r="I144" s="20">
        <f>1.7-0.3</f>
        <v>1.4</v>
      </c>
      <c r="J144" s="20">
        <v>1.3</v>
      </c>
      <c r="K144" s="20"/>
      <c r="L144" s="22">
        <f t="shared" si="19"/>
        <v>-0.3</v>
      </c>
      <c r="M144" s="22">
        <v>-0.3</v>
      </c>
      <c r="N144" s="22">
        <v>-0.3</v>
      </c>
      <c r="P144" s="23">
        <f t="shared" si="20"/>
        <v>0</v>
      </c>
      <c r="Q144" s="23"/>
      <c r="X144" s="24"/>
    </row>
    <row r="145" spans="1:24" ht="30.6" customHeight="1" x14ac:dyDescent="0.2">
      <c r="A145" s="13">
        <v>65</v>
      </c>
      <c r="B145" s="16"/>
      <c r="C145" s="27" t="s">
        <v>201</v>
      </c>
      <c r="D145" s="16" t="s">
        <v>209</v>
      </c>
      <c r="E145" s="20">
        <f t="shared" si="21"/>
        <v>1.9</v>
      </c>
      <c r="F145" s="20">
        <f t="shared" si="22"/>
        <v>1.8</v>
      </c>
      <c r="G145" s="20">
        <v>1.9</v>
      </c>
      <c r="H145" s="20">
        <v>1.8</v>
      </c>
      <c r="I145" s="20">
        <v>1.8</v>
      </c>
      <c r="J145" s="20">
        <v>1.8</v>
      </c>
      <c r="K145" s="20"/>
      <c r="L145" s="22">
        <f t="shared" si="19"/>
        <v>0</v>
      </c>
      <c r="M145" s="22"/>
      <c r="N145" s="22"/>
      <c r="P145" s="23">
        <f t="shared" si="20"/>
        <v>0</v>
      </c>
      <c r="Q145" s="23"/>
      <c r="X145" s="24"/>
    </row>
    <row r="146" spans="1:24" ht="29.25" customHeight="1" x14ac:dyDescent="0.2">
      <c r="A146" s="13">
        <v>66</v>
      </c>
      <c r="B146" s="16"/>
      <c r="C146" s="27" t="s">
        <v>202</v>
      </c>
      <c r="D146" s="16" t="s">
        <v>209</v>
      </c>
      <c r="E146" s="20">
        <f t="shared" si="21"/>
        <v>2.1</v>
      </c>
      <c r="F146" s="20">
        <f t="shared" si="22"/>
        <v>1.9</v>
      </c>
      <c r="G146" s="20">
        <f>1.9+0.2</f>
        <v>2.1</v>
      </c>
      <c r="H146" s="20">
        <v>1.9</v>
      </c>
      <c r="I146" s="20">
        <f>1.8+0.2</f>
        <v>2</v>
      </c>
      <c r="J146" s="20">
        <v>1.9</v>
      </c>
      <c r="K146" s="20"/>
      <c r="L146" s="22">
        <f t="shared" si="19"/>
        <v>0.2</v>
      </c>
      <c r="M146" s="22">
        <v>0.2</v>
      </c>
      <c r="N146" s="22">
        <v>0.2</v>
      </c>
      <c r="P146" s="23">
        <f t="shared" si="20"/>
        <v>0</v>
      </c>
      <c r="Q146" s="23"/>
      <c r="X146" s="24"/>
    </row>
    <row r="147" spans="1:24" ht="24.75" customHeight="1" x14ac:dyDescent="0.2">
      <c r="A147" s="13">
        <v>67</v>
      </c>
      <c r="B147" s="11" t="s">
        <v>226</v>
      </c>
      <c r="C147" s="51" t="s">
        <v>227</v>
      </c>
      <c r="D147" s="12"/>
      <c r="E147" s="58">
        <f t="shared" si="21"/>
        <v>2957.7999999999997</v>
      </c>
      <c r="F147" s="52">
        <f t="shared" si="22"/>
        <v>2903.2000000000003</v>
      </c>
      <c r="G147" s="58">
        <f>+G148+G149+G150+G151+G152+G153+G154+G155+G157+G169</f>
        <v>2903.3999999999996</v>
      </c>
      <c r="H147" s="58">
        <f>+H148+H149+H150+H151+H152+H153+H154+H155+H157+H169</f>
        <v>2864.9</v>
      </c>
      <c r="I147" s="58">
        <f>+I148+I149+I150+I151+I152+I153+I154+I155+I157+I169</f>
        <v>1980.8</v>
      </c>
      <c r="J147" s="58">
        <f>+J148+J149+J150+J151+J152+J153+J154+J155+J157+J169</f>
        <v>1978.8</v>
      </c>
      <c r="K147" s="58">
        <f>+K148+K149+K150+K151+K152+K153+K154+K155+K157+K169</f>
        <v>54.399999999999991</v>
      </c>
      <c r="L147" s="58">
        <f t="shared" ref="L147:W147" si="23">+L148+L149+L150+L151+L152+L153+L154+L155+L157+L169</f>
        <v>-53.400000000000006</v>
      </c>
      <c r="M147" s="58">
        <f t="shared" si="23"/>
        <v>6.4000000000000012</v>
      </c>
      <c r="N147" s="58">
        <f t="shared" si="23"/>
        <v>-8</v>
      </c>
      <c r="O147" s="58">
        <f t="shared" si="23"/>
        <v>-59.8</v>
      </c>
      <c r="P147" s="58">
        <f t="shared" si="23"/>
        <v>0</v>
      </c>
      <c r="Q147" s="58">
        <f t="shared" si="23"/>
        <v>0</v>
      </c>
      <c r="R147" s="58">
        <f t="shared" si="23"/>
        <v>0</v>
      </c>
      <c r="S147" s="58">
        <f t="shared" si="23"/>
        <v>0</v>
      </c>
      <c r="T147" s="58">
        <f t="shared" si="23"/>
        <v>0</v>
      </c>
      <c r="U147" s="58">
        <f t="shared" si="23"/>
        <v>0</v>
      </c>
      <c r="V147" s="58">
        <f t="shared" si="23"/>
        <v>0</v>
      </c>
      <c r="W147" s="58">
        <f t="shared" si="23"/>
        <v>0</v>
      </c>
      <c r="X147" s="58">
        <f>+X148+X149+X150+X151+X152+X153+X154+X155+X157+X169</f>
        <v>38.299999999999997</v>
      </c>
    </row>
    <row r="148" spans="1:24" ht="15" customHeight="1" x14ac:dyDescent="0.2">
      <c r="A148" s="13">
        <v>68</v>
      </c>
      <c r="B148" s="16"/>
      <c r="C148" s="17" t="s">
        <v>228</v>
      </c>
      <c r="D148" s="16" t="s">
        <v>229</v>
      </c>
      <c r="E148" s="20">
        <f t="shared" si="21"/>
        <v>589.70000000000005</v>
      </c>
      <c r="F148" s="20">
        <f t="shared" si="22"/>
        <v>589.70000000000005</v>
      </c>
      <c r="G148" s="20">
        <v>589.70000000000005</v>
      </c>
      <c r="H148" s="20">
        <v>589.70000000000005</v>
      </c>
      <c r="I148" s="20">
        <v>458.6</v>
      </c>
      <c r="J148" s="20">
        <v>458.6</v>
      </c>
      <c r="K148" s="20"/>
      <c r="L148" s="22">
        <f t="shared" si="19"/>
        <v>0</v>
      </c>
      <c r="M148" s="22"/>
      <c r="N148" s="22"/>
      <c r="P148" s="23">
        <f t="shared" si="20"/>
        <v>0</v>
      </c>
      <c r="Q148" s="23"/>
      <c r="X148" s="24"/>
    </row>
    <row r="149" spans="1:24" ht="15" customHeight="1" x14ac:dyDescent="0.2">
      <c r="A149" s="13">
        <v>69</v>
      </c>
      <c r="B149" s="16"/>
      <c r="C149" s="61" t="s">
        <v>230</v>
      </c>
      <c r="D149" s="16" t="s">
        <v>229</v>
      </c>
      <c r="E149" s="20">
        <f t="shared" si="21"/>
        <v>189.5</v>
      </c>
      <c r="F149" s="20">
        <f t="shared" si="22"/>
        <v>189.4</v>
      </c>
      <c r="G149" s="20">
        <f>189.5-3.5</f>
        <v>186</v>
      </c>
      <c r="H149" s="20">
        <v>185.9</v>
      </c>
      <c r="I149" s="20">
        <f>154.1-3.2</f>
        <v>150.9</v>
      </c>
      <c r="J149" s="20">
        <v>150.9</v>
      </c>
      <c r="K149" s="20">
        <v>3.5</v>
      </c>
      <c r="L149" s="22">
        <f t="shared" si="19"/>
        <v>0</v>
      </c>
      <c r="M149" s="22">
        <v>-3.5</v>
      </c>
      <c r="N149" s="22">
        <v>-3.2</v>
      </c>
      <c r="O149" s="3">
        <v>3.5</v>
      </c>
      <c r="P149" s="23">
        <f t="shared" si="20"/>
        <v>0</v>
      </c>
      <c r="Q149" s="23"/>
      <c r="X149" s="24">
        <v>3.5</v>
      </c>
    </row>
    <row r="150" spans="1:24" ht="15" customHeight="1" x14ac:dyDescent="0.2">
      <c r="A150" s="13">
        <v>70</v>
      </c>
      <c r="B150" s="16"/>
      <c r="C150" s="61" t="s">
        <v>231</v>
      </c>
      <c r="D150" s="16" t="s">
        <v>229</v>
      </c>
      <c r="E150" s="20">
        <f t="shared" si="21"/>
        <v>132.4</v>
      </c>
      <c r="F150" s="20">
        <f t="shared" si="22"/>
        <v>132.4</v>
      </c>
      <c r="G150" s="20">
        <v>132.4</v>
      </c>
      <c r="H150" s="20">
        <v>132.4</v>
      </c>
      <c r="I150" s="20">
        <v>99.4</v>
      </c>
      <c r="J150" s="20">
        <v>99.4</v>
      </c>
      <c r="K150" s="20"/>
      <c r="L150" s="22">
        <f t="shared" si="19"/>
        <v>0</v>
      </c>
      <c r="M150" s="22"/>
      <c r="N150" s="22"/>
      <c r="P150" s="23">
        <f t="shared" si="20"/>
        <v>0</v>
      </c>
      <c r="Q150" s="23"/>
      <c r="X150" s="24"/>
    </row>
    <row r="151" spans="1:24" ht="15" customHeight="1" x14ac:dyDescent="0.2">
      <c r="A151" s="13">
        <v>71</v>
      </c>
      <c r="B151" s="16"/>
      <c r="C151" s="61" t="s">
        <v>232</v>
      </c>
      <c r="D151" s="16" t="s">
        <v>229</v>
      </c>
      <c r="E151" s="20">
        <f t="shared" si="21"/>
        <v>128.4</v>
      </c>
      <c r="F151" s="20">
        <f t="shared" si="22"/>
        <v>128.4</v>
      </c>
      <c r="G151" s="20">
        <f>128.4-2.2</f>
        <v>126.2</v>
      </c>
      <c r="H151" s="20">
        <v>126.2</v>
      </c>
      <c r="I151" s="20">
        <f>95.6-3.4</f>
        <v>92.199999999999989</v>
      </c>
      <c r="J151" s="20">
        <v>92.2</v>
      </c>
      <c r="K151" s="20">
        <v>2.2000000000000002</v>
      </c>
      <c r="L151" s="22">
        <f t="shared" si="19"/>
        <v>0</v>
      </c>
      <c r="M151" s="22">
        <v>-2.2000000000000002</v>
      </c>
      <c r="N151" s="22">
        <v>-3.4</v>
      </c>
      <c r="O151" s="3">
        <v>2.2000000000000002</v>
      </c>
      <c r="P151" s="23">
        <f t="shared" si="20"/>
        <v>0</v>
      </c>
      <c r="Q151" s="23"/>
      <c r="X151" s="24">
        <v>2.2000000000000002</v>
      </c>
    </row>
    <row r="152" spans="1:24" ht="15" customHeight="1" x14ac:dyDescent="0.2">
      <c r="A152" s="13">
        <v>72</v>
      </c>
      <c r="B152" s="16"/>
      <c r="C152" s="61" t="s">
        <v>233</v>
      </c>
      <c r="D152" s="16" t="s">
        <v>229</v>
      </c>
      <c r="E152" s="20">
        <f t="shared" si="21"/>
        <v>84.6</v>
      </c>
      <c r="F152" s="20">
        <f t="shared" si="22"/>
        <v>84.5</v>
      </c>
      <c r="G152" s="20">
        <f>84.6-8</f>
        <v>76.599999999999994</v>
      </c>
      <c r="H152" s="20">
        <v>76.5</v>
      </c>
      <c r="I152" s="20">
        <f>71.5-8</f>
        <v>63.5</v>
      </c>
      <c r="J152" s="32">
        <f>63.5-0.1</f>
        <v>63.4</v>
      </c>
      <c r="K152" s="20">
        <v>8</v>
      </c>
      <c r="L152" s="22">
        <f t="shared" si="19"/>
        <v>0</v>
      </c>
      <c r="M152" s="22">
        <v>-8</v>
      </c>
      <c r="N152" s="22">
        <v>-8</v>
      </c>
      <c r="O152" s="3">
        <v>8</v>
      </c>
      <c r="P152" s="23">
        <f t="shared" si="20"/>
        <v>0</v>
      </c>
      <c r="Q152" s="23"/>
      <c r="X152" s="17">
        <v>8</v>
      </c>
    </row>
    <row r="153" spans="1:24" ht="15" customHeight="1" x14ac:dyDescent="0.2">
      <c r="A153" s="13">
        <v>73</v>
      </c>
      <c r="B153" s="16"/>
      <c r="C153" s="61" t="s">
        <v>234</v>
      </c>
      <c r="D153" s="16" t="s">
        <v>229</v>
      </c>
      <c r="E153" s="20">
        <f t="shared" si="21"/>
        <v>79.599999999999994</v>
      </c>
      <c r="F153" s="20">
        <f t="shared" si="22"/>
        <v>79.5</v>
      </c>
      <c r="G153" s="20">
        <v>79.599999999999994</v>
      </c>
      <c r="H153" s="20">
        <v>79.5</v>
      </c>
      <c r="I153" s="20">
        <v>63.1</v>
      </c>
      <c r="J153" s="20">
        <v>63.1</v>
      </c>
      <c r="K153" s="20"/>
      <c r="L153" s="22">
        <f t="shared" si="19"/>
        <v>0</v>
      </c>
      <c r="M153" s="22"/>
      <c r="N153" s="22"/>
      <c r="P153" s="23">
        <f t="shared" si="20"/>
        <v>0</v>
      </c>
      <c r="Q153" s="23"/>
      <c r="X153" s="24"/>
    </row>
    <row r="154" spans="1:24" ht="26.25" customHeight="1" x14ac:dyDescent="0.2">
      <c r="A154" s="13">
        <v>74</v>
      </c>
      <c r="B154" s="16"/>
      <c r="C154" s="27" t="s">
        <v>235</v>
      </c>
      <c r="D154" s="16" t="s">
        <v>236</v>
      </c>
      <c r="E154" s="20">
        <f t="shared" si="21"/>
        <v>808.6</v>
      </c>
      <c r="F154" s="20">
        <f t="shared" si="22"/>
        <v>808.6</v>
      </c>
      <c r="G154" s="20">
        <f>788.6+20</f>
        <v>808.6</v>
      </c>
      <c r="H154" s="20">
        <v>808.6</v>
      </c>
      <c r="I154" s="20">
        <v>673.8</v>
      </c>
      <c r="J154" s="20">
        <v>673.8</v>
      </c>
      <c r="K154" s="20">
        <f>20-20</f>
        <v>0</v>
      </c>
      <c r="L154" s="22">
        <f t="shared" si="19"/>
        <v>0</v>
      </c>
      <c r="M154" s="22">
        <v>20</v>
      </c>
      <c r="N154" s="22"/>
      <c r="O154" s="3">
        <v>-20</v>
      </c>
      <c r="P154" s="23">
        <f t="shared" si="20"/>
        <v>0</v>
      </c>
      <c r="Q154" s="23"/>
      <c r="X154" s="24"/>
    </row>
    <row r="155" spans="1:24" ht="17.25" customHeight="1" x14ac:dyDescent="0.2">
      <c r="A155" s="260">
        <v>75</v>
      </c>
      <c r="B155" s="262"/>
      <c r="C155" s="61" t="s">
        <v>237</v>
      </c>
      <c r="D155" s="262" t="s">
        <v>238</v>
      </c>
      <c r="E155" s="20">
        <f t="shared" si="21"/>
        <v>401.6</v>
      </c>
      <c r="F155" s="20">
        <f t="shared" si="22"/>
        <v>377.7</v>
      </c>
      <c r="G155" s="20">
        <v>401.6</v>
      </c>
      <c r="H155" s="32">
        <f>377.8-0.1</f>
        <v>377.7</v>
      </c>
      <c r="I155" s="20">
        <f>311.8+8</f>
        <v>319.8</v>
      </c>
      <c r="J155" s="20">
        <v>319.5</v>
      </c>
      <c r="K155" s="20"/>
      <c r="L155" s="22">
        <f t="shared" si="19"/>
        <v>0</v>
      </c>
      <c r="M155" s="22"/>
      <c r="N155" s="22">
        <v>8</v>
      </c>
      <c r="P155" s="23">
        <f t="shared" si="20"/>
        <v>0</v>
      </c>
      <c r="Q155" s="23"/>
      <c r="X155" s="24"/>
    </row>
    <row r="156" spans="1:24" ht="25.5" x14ac:dyDescent="0.2">
      <c r="A156" s="261"/>
      <c r="B156" s="263"/>
      <c r="C156" s="39" t="s">
        <v>239</v>
      </c>
      <c r="D156" s="263"/>
      <c r="E156" s="20">
        <f t="shared" si="21"/>
        <v>35.299999999999997</v>
      </c>
      <c r="F156" s="20">
        <f t="shared" si="22"/>
        <v>11.5</v>
      </c>
      <c r="G156" s="20">
        <v>35.299999999999997</v>
      </c>
      <c r="H156" s="20">
        <v>11.5</v>
      </c>
      <c r="I156" s="20">
        <v>8</v>
      </c>
      <c r="J156" s="32">
        <v>7.7</v>
      </c>
      <c r="K156" s="20"/>
      <c r="L156" s="22">
        <f t="shared" si="19"/>
        <v>0</v>
      </c>
      <c r="M156" s="22"/>
      <c r="N156" s="22"/>
      <c r="P156" s="23">
        <f t="shared" si="20"/>
        <v>0</v>
      </c>
      <c r="Q156" s="23"/>
      <c r="X156" s="24"/>
    </row>
    <row r="157" spans="1:24" ht="12.6" customHeight="1" x14ac:dyDescent="0.2">
      <c r="A157" s="13">
        <v>76</v>
      </c>
      <c r="B157" s="16"/>
      <c r="C157" s="40" t="s">
        <v>59</v>
      </c>
      <c r="D157" s="16"/>
      <c r="E157" s="20">
        <f t="shared" si="21"/>
        <v>540.30000000000007</v>
      </c>
      <c r="F157" s="20">
        <f t="shared" si="22"/>
        <v>510.2</v>
      </c>
      <c r="G157" s="20">
        <f>+G158+G159+G160+G161+G162+G163</f>
        <v>499.6</v>
      </c>
      <c r="H157" s="20">
        <f>+H158+H159+H160+H161+H162+H163</f>
        <v>485.59999999999997</v>
      </c>
      <c r="I157" s="20">
        <f>+I158+I159+I160+I161+I162+I163</f>
        <v>56.7</v>
      </c>
      <c r="J157" s="20">
        <f>+J158+J159+J160+J161+J162+J163</f>
        <v>55.3</v>
      </c>
      <c r="K157" s="20">
        <f>+K158+K159+K160+K161+K162+K163</f>
        <v>40.699999999999996</v>
      </c>
      <c r="L157" s="20">
        <f t="shared" ref="L157:X157" si="24">+L158+L159+L160+L161+L162+L163</f>
        <v>-50.7</v>
      </c>
      <c r="M157" s="20">
        <f t="shared" si="24"/>
        <v>2.8000000000000003</v>
      </c>
      <c r="N157" s="20">
        <f t="shared" si="24"/>
        <v>1.2</v>
      </c>
      <c r="O157" s="20">
        <f t="shared" si="24"/>
        <v>-53.5</v>
      </c>
      <c r="P157" s="20">
        <f t="shared" si="24"/>
        <v>0</v>
      </c>
      <c r="Q157" s="20">
        <f t="shared" si="24"/>
        <v>0</v>
      </c>
      <c r="R157" s="20">
        <f t="shared" si="24"/>
        <v>0</v>
      </c>
      <c r="S157" s="20">
        <f t="shared" si="24"/>
        <v>0</v>
      </c>
      <c r="T157" s="20">
        <f t="shared" si="24"/>
        <v>0</v>
      </c>
      <c r="U157" s="20">
        <f t="shared" si="24"/>
        <v>0</v>
      </c>
      <c r="V157" s="20">
        <f t="shared" si="24"/>
        <v>0</v>
      </c>
      <c r="W157" s="20">
        <f t="shared" si="24"/>
        <v>0</v>
      </c>
      <c r="X157" s="20">
        <f t="shared" si="24"/>
        <v>24.6</v>
      </c>
    </row>
    <row r="158" spans="1:24" ht="26.25" customHeight="1" x14ac:dyDescent="0.2">
      <c r="A158" s="41" t="s">
        <v>240</v>
      </c>
      <c r="B158" s="16"/>
      <c r="C158" s="40" t="s">
        <v>61</v>
      </c>
      <c r="D158" s="18" t="s">
        <v>241</v>
      </c>
      <c r="E158" s="20">
        <f t="shared" si="21"/>
        <v>342.3</v>
      </c>
      <c r="F158" s="20">
        <f t="shared" si="22"/>
        <v>332.4</v>
      </c>
      <c r="G158" s="20">
        <f>339.7+2.6</f>
        <v>342.3</v>
      </c>
      <c r="H158" s="32">
        <v>332.4</v>
      </c>
      <c r="I158" s="20">
        <f>55.5+1.2</f>
        <v>56.7</v>
      </c>
      <c r="J158" s="20">
        <v>55.3</v>
      </c>
      <c r="K158" s="20"/>
      <c r="L158" s="22">
        <f t="shared" si="19"/>
        <v>2.6</v>
      </c>
      <c r="M158" s="22">
        <v>2.6</v>
      </c>
      <c r="N158" s="22">
        <v>1.2</v>
      </c>
      <c r="P158" s="23">
        <f t="shared" si="20"/>
        <v>0</v>
      </c>
      <c r="Q158" s="23"/>
      <c r="X158" s="24"/>
    </row>
    <row r="159" spans="1:24" ht="24.95" customHeight="1" x14ac:dyDescent="0.2">
      <c r="A159" s="41" t="s">
        <v>242</v>
      </c>
      <c r="B159" s="16"/>
      <c r="C159" s="45" t="s">
        <v>243</v>
      </c>
      <c r="D159" s="18" t="s">
        <v>244</v>
      </c>
      <c r="E159" s="32">
        <f t="shared" si="21"/>
        <v>16</v>
      </c>
      <c r="F159" s="20">
        <f t="shared" si="22"/>
        <v>16</v>
      </c>
      <c r="G159" s="20">
        <v>16</v>
      </c>
      <c r="H159" s="20">
        <v>16</v>
      </c>
      <c r="I159" s="20"/>
      <c r="J159" s="20"/>
      <c r="K159" s="20"/>
      <c r="L159" s="22">
        <f t="shared" si="19"/>
        <v>0</v>
      </c>
      <c r="M159" s="22"/>
      <c r="N159" s="22"/>
      <c r="P159" s="23">
        <f t="shared" si="20"/>
        <v>0</v>
      </c>
      <c r="Q159" s="23"/>
      <c r="X159" s="24"/>
    </row>
    <row r="160" spans="1:24" ht="24.95" customHeight="1" x14ac:dyDescent="0.2">
      <c r="A160" s="41" t="s">
        <v>245</v>
      </c>
      <c r="B160" s="16"/>
      <c r="C160" s="45" t="s">
        <v>246</v>
      </c>
      <c r="D160" s="18" t="s">
        <v>244</v>
      </c>
      <c r="E160" s="32">
        <f t="shared" si="21"/>
        <v>19</v>
      </c>
      <c r="F160" s="20">
        <f t="shared" si="22"/>
        <v>19</v>
      </c>
      <c r="G160" s="20">
        <v>19</v>
      </c>
      <c r="H160" s="20">
        <v>19</v>
      </c>
      <c r="I160" s="20"/>
      <c r="J160" s="20"/>
      <c r="K160" s="20"/>
      <c r="L160" s="22">
        <f t="shared" si="19"/>
        <v>0</v>
      </c>
      <c r="M160" s="22"/>
      <c r="N160" s="22"/>
      <c r="P160" s="23">
        <f t="shared" si="20"/>
        <v>0</v>
      </c>
      <c r="Q160" s="23"/>
      <c r="X160" s="24"/>
    </row>
    <row r="161" spans="1:24" ht="38.25" x14ac:dyDescent="0.2">
      <c r="A161" s="41" t="s">
        <v>247</v>
      </c>
      <c r="B161" s="16"/>
      <c r="C161" s="45" t="s">
        <v>248</v>
      </c>
      <c r="D161" s="18" t="s">
        <v>249</v>
      </c>
      <c r="E161" s="32">
        <f t="shared" si="21"/>
        <v>70</v>
      </c>
      <c r="F161" s="20">
        <f t="shared" si="22"/>
        <v>69.900000000000006</v>
      </c>
      <c r="G161" s="20">
        <v>70</v>
      </c>
      <c r="H161" s="20">
        <v>69.900000000000006</v>
      </c>
      <c r="I161" s="20"/>
      <c r="J161" s="20"/>
      <c r="K161" s="20"/>
      <c r="L161" s="22">
        <f t="shared" si="19"/>
        <v>0</v>
      </c>
      <c r="M161" s="22"/>
      <c r="N161" s="22"/>
      <c r="P161" s="23">
        <f t="shared" si="20"/>
        <v>0</v>
      </c>
      <c r="Q161" s="23"/>
      <c r="X161" s="24"/>
    </row>
    <row r="162" spans="1:24" ht="25.5" x14ac:dyDescent="0.2">
      <c r="A162" s="41" t="s">
        <v>250</v>
      </c>
      <c r="B162" s="16"/>
      <c r="C162" s="45" t="s">
        <v>251</v>
      </c>
      <c r="D162" s="18" t="s">
        <v>249</v>
      </c>
      <c r="E162" s="32">
        <f t="shared" si="21"/>
        <v>3.0000000000000009</v>
      </c>
      <c r="F162" s="20">
        <f t="shared" si="22"/>
        <v>3</v>
      </c>
      <c r="G162" s="20">
        <f>20-17.2+0.2</f>
        <v>3.0000000000000009</v>
      </c>
      <c r="H162" s="20">
        <v>3</v>
      </c>
      <c r="I162" s="20"/>
      <c r="J162" s="20"/>
      <c r="K162" s="20"/>
      <c r="L162" s="22">
        <f t="shared" si="19"/>
        <v>0.2</v>
      </c>
      <c r="M162" s="22">
        <v>0.2</v>
      </c>
      <c r="N162" s="22"/>
      <c r="P162" s="23">
        <f t="shared" si="20"/>
        <v>0</v>
      </c>
      <c r="Q162" s="23"/>
      <c r="X162" s="24"/>
    </row>
    <row r="163" spans="1:24" ht="39" customHeight="1" x14ac:dyDescent="0.2">
      <c r="A163" s="41" t="s">
        <v>252</v>
      </c>
      <c r="B163" s="16"/>
      <c r="C163" s="43" t="s">
        <v>70</v>
      </c>
      <c r="D163" s="12"/>
      <c r="E163" s="53">
        <f t="shared" si="21"/>
        <v>90</v>
      </c>
      <c r="F163" s="53">
        <f t="shared" si="22"/>
        <v>69.900000000000006</v>
      </c>
      <c r="G163" s="53">
        <f>+G164+G165+G166+G167+G168</f>
        <v>49.300000000000004</v>
      </c>
      <c r="H163" s="53">
        <f>+H164+H165+H166+H167+H168</f>
        <v>45.300000000000004</v>
      </c>
      <c r="I163" s="70">
        <f>+I164+I165+I166+I167+I168</f>
        <v>0</v>
      </c>
      <c r="J163" s="70">
        <f>+J164+J165+J166+J167+J168</f>
        <v>0</v>
      </c>
      <c r="K163" s="53">
        <f>+K164+K165+K166+K167+K168</f>
        <v>40.699999999999996</v>
      </c>
      <c r="L163" s="53">
        <f t="shared" ref="L163:W163" si="25">+L164+L165+L166+L167+L168</f>
        <v>-53.5</v>
      </c>
      <c r="M163" s="53">
        <f t="shared" si="25"/>
        <v>0</v>
      </c>
      <c r="N163" s="53">
        <f t="shared" si="25"/>
        <v>0</v>
      </c>
      <c r="O163" s="53">
        <f t="shared" si="25"/>
        <v>-53.5</v>
      </c>
      <c r="P163" s="53">
        <f t="shared" si="25"/>
        <v>0</v>
      </c>
      <c r="Q163" s="53">
        <f t="shared" si="25"/>
        <v>0</v>
      </c>
      <c r="R163" s="53">
        <f t="shared" si="25"/>
        <v>0</v>
      </c>
      <c r="S163" s="53">
        <f t="shared" si="25"/>
        <v>0</v>
      </c>
      <c r="T163" s="53">
        <f t="shared" si="25"/>
        <v>0</v>
      </c>
      <c r="U163" s="53">
        <f t="shared" si="25"/>
        <v>0</v>
      </c>
      <c r="V163" s="53">
        <f t="shared" si="25"/>
        <v>0</v>
      </c>
      <c r="W163" s="53">
        <f t="shared" si="25"/>
        <v>0</v>
      </c>
      <c r="X163" s="53">
        <f>+X164+X165+X166+X167+X168</f>
        <v>24.6</v>
      </c>
    </row>
    <row r="164" spans="1:24" ht="27.75" customHeight="1" x14ac:dyDescent="0.2">
      <c r="A164" s="41" t="s">
        <v>253</v>
      </c>
      <c r="B164" s="16"/>
      <c r="C164" s="40" t="s">
        <v>254</v>
      </c>
      <c r="D164" s="16" t="s">
        <v>236</v>
      </c>
      <c r="E164" s="32">
        <f t="shared" si="21"/>
        <v>45</v>
      </c>
      <c r="F164" s="20">
        <f>+H164+X164</f>
        <v>44.2</v>
      </c>
      <c r="G164" s="20">
        <v>45</v>
      </c>
      <c r="H164" s="20">
        <v>44.2</v>
      </c>
      <c r="I164" s="20"/>
      <c r="J164" s="20"/>
      <c r="K164" s="20"/>
      <c r="L164" s="22">
        <f t="shared" si="19"/>
        <v>0</v>
      </c>
      <c r="M164" s="22"/>
      <c r="N164" s="22"/>
      <c r="P164" s="23">
        <f t="shared" si="20"/>
        <v>0</v>
      </c>
      <c r="Q164" s="23"/>
      <c r="X164" s="24"/>
    </row>
    <row r="165" spans="1:24" ht="38.25" x14ac:dyDescent="0.2">
      <c r="A165" s="46" t="s">
        <v>255</v>
      </c>
      <c r="B165" s="26"/>
      <c r="C165" s="40" t="s">
        <v>256</v>
      </c>
      <c r="D165" s="26" t="s">
        <v>238</v>
      </c>
      <c r="E165" s="32">
        <f t="shared" si="21"/>
        <v>3</v>
      </c>
      <c r="F165" s="20">
        <f t="shared" si="22"/>
        <v>1.1000000000000001</v>
      </c>
      <c r="G165" s="20">
        <f>1+2</f>
        <v>3</v>
      </c>
      <c r="H165" s="20">
        <v>1.1000000000000001</v>
      </c>
      <c r="I165" s="20"/>
      <c r="J165" s="20"/>
      <c r="K165" s="20">
        <f>20-2-18</f>
        <v>0</v>
      </c>
      <c r="L165" s="22">
        <f t="shared" si="19"/>
        <v>-18</v>
      </c>
      <c r="M165" s="22"/>
      <c r="N165" s="22"/>
      <c r="O165" s="3">
        <v>-18</v>
      </c>
      <c r="P165" s="23">
        <f t="shared" si="20"/>
        <v>0</v>
      </c>
      <c r="Q165" s="23"/>
      <c r="X165" s="24"/>
    </row>
    <row r="166" spans="1:24" ht="25.5" x14ac:dyDescent="0.2">
      <c r="A166" s="46" t="s">
        <v>257</v>
      </c>
      <c r="B166" s="26"/>
      <c r="C166" s="49" t="s">
        <v>258</v>
      </c>
      <c r="D166" s="16" t="s">
        <v>229</v>
      </c>
      <c r="E166" s="32">
        <f t="shared" si="21"/>
        <v>10</v>
      </c>
      <c r="F166" s="20">
        <f t="shared" si="22"/>
        <v>5.6000000000000005</v>
      </c>
      <c r="G166" s="20">
        <v>1</v>
      </c>
      <c r="H166" s="57">
        <v>0</v>
      </c>
      <c r="I166" s="20"/>
      <c r="J166" s="20"/>
      <c r="K166" s="20">
        <f>44.5-35.5</f>
        <v>9</v>
      </c>
      <c r="L166" s="22">
        <f t="shared" si="19"/>
        <v>-35.5</v>
      </c>
      <c r="M166" s="22"/>
      <c r="N166" s="22"/>
      <c r="O166" s="3">
        <v>-35.5</v>
      </c>
      <c r="P166" s="23">
        <f t="shared" si="20"/>
        <v>0</v>
      </c>
      <c r="Q166" s="23"/>
      <c r="X166" s="24">
        <f>1.2+4.4</f>
        <v>5.6000000000000005</v>
      </c>
    </row>
    <row r="167" spans="1:24" ht="38.25" x14ac:dyDescent="0.2">
      <c r="A167" s="46" t="s">
        <v>259</v>
      </c>
      <c r="B167" s="26"/>
      <c r="C167" s="49" t="s">
        <v>260</v>
      </c>
      <c r="D167" s="16" t="s">
        <v>229</v>
      </c>
      <c r="E167" s="32">
        <f t="shared" si="21"/>
        <v>19.999999999999996</v>
      </c>
      <c r="F167" s="20">
        <f t="shared" si="22"/>
        <v>13.399999999999999</v>
      </c>
      <c r="G167" s="20">
        <v>0.2</v>
      </c>
      <c r="H167" s="57">
        <v>0</v>
      </c>
      <c r="I167" s="20"/>
      <c r="J167" s="20"/>
      <c r="K167" s="20">
        <f>33.8-14</f>
        <v>19.799999999999997</v>
      </c>
      <c r="L167" s="22">
        <f t="shared" si="19"/>
        <v>0</v>
      </c>
      <c r="M167" s="22"/>
      <c r="N167" s="22"/>
      <c r="P167" s="23">
        <f t="shared" si="20"/>
        <v>0</v>
      </c>
      <c r="Q167" s="23"/>
      <c r="X167" s="24">
        <f>4.7+8.7</f>
        <v>13.399999999999999</v>
      </c>
    </row>
    <row r="168" spans="1:24" ht="39.75" customHeight="1" x14ac:dyDescent="0.2">
      <c r="A168" s="41" t="s">
        <v>261</v>
      </c>
      <c r="B168" s="16"/>
      <c r="C168" s="40" t="s">
        <v>262</v>
      </c>
      <c r="D168" s="18" t="s">
        <v>229</v>
      </c>
      <c r="E168" s="32">
        <f t="shared" si="21"/>
        <v>12</v>
      </c>
      <c r="F168" s="32">
        <f t="shared" si="22"/>
        <v>5.6</v>
      </c>
      <c r="G168" s="20">
        <v>0.1</v>
      </c>
      <c r="H168" s="57">
        <v>0</v>
      </c>
      <c r="I168" s="20"/>
      <c r="J168" s="20"/>
      <c r="K168" s="20">
        <v>11.9</v>
      </c>
      <c r="L168" s="22">
        <f t="shared" si="19"/>
        <v>0</v>
      </c>
      <c r="M168" s="22"/>
      <c r="N168" s="22"/>
      <c r="P168" s="23">
        <f t="shared" si="20"/>
        <v>0</v>
      </c>
      <c r="Q168" s="23"/>
      <c r="X168" s="36">
        <f>5.5+0.1</f>
        <v>5.6</v>
      </c>
    </row>
    <row r="169" spans="1:24" ht="31.5" customHeight="1" x14ac:dyDescent="0.2">
      <c r="A169" s="41" t="s">
        <v>263</v>
      </c>
      <c r="B169" s="16"/>
      <c r="C169" s="27" t="s">
        <v>196</v>
      </c>
      <c r="D169" s="16" t="s">
        <v>238</v>
      </c>
      <c r="E169" s="20">
        <f t="shared" si="21"/>
        <v>3.0999999999999996</v>
      </c>
      <c r="F169" s="20">
        <f t="shared" si="22"/>
        <v>2.8</v>
      </c>
      <c r="G169" s="20">
        <f>5.8-2.7</f>
        <v>3.0999999999999996</v>
      </c>
      <c r="H169" s="20">
        <v>2.8</v>
      </c>
      <c r="I169" s="20">
        <f>5.4-2.6</f>
        <v>2.8000000000000003</v>
      </c>
      <c r="J169" s="20">
        <v>2.6</v>
      </c>
      <c r="K169" s="20"/>
      <c r="L169" s="22">
        <f t="shared" si="19"/>
        <v>-2.7</v>
      </c>
      <c r="M169" s="22">
        <v>-2.7</v>
      </c>
      <c r="N169" s="22">
        <v>-2.6</v>
      </c>
      <c r="P169" s="23">
        <f t="shared" si="20"/>
        <v>0</v>
      </c>
      <c r="Q169" s="23"/>
      <c r="S169" s="72"/>
      <c r="T169" s="47"/>
      <c r="X169" s="24"/>
    </row>
    <row r="170" spans="1:24" ht="30" customHeight="1" x14ac:dyDescent="0.2">
      <c r="A170" s="13">
        <v>78</v>
      </c>
      <c r="B170" s="11" t="s">
        <v>264</v>
      </c>
      <c r="C170" s="73" t="s">
        <v>265</v>
      </c>
      <c r="D170" s="16"/>
      <c r="E170" s="52">
        <f t="shared" si="21"/>
        <v>739.5</v>
      </c>
      <c r="F170" s="52">
        <f t="shared" si="22"/>
        <v>513</v>
      </c>
      <c r="G170" s="52">
        <f>+G171+G174</f>
        <v>282.7</v>
      </c>
      <c r="H170" s="52">
        <f>+H171+H174</f>
        <v>202.5</v>
      </c>
      <c r="I170" s="74">
        <f>+I171+I174</f>
        <v>0</v>
      </c>
      <c r="J170" s="74">
        <v>0</v>
      </c>
      <c r="K170" s="52">
        <f>+K171+K174</f>
        <v>456.8</v>
      </c>
      <c r="L170" s="52">
        <f t="shared" ref="L170:X170" si="26">+L171+L174</f>
        <v>65.7</v>
      </c>
      <c r="M170" s="52">
        <f t="shared" si="26"/>
        <v>55.2</v>
      </c>
      <c r="N170" s="52">
        <f t="shared" si="26"/>
        <v>0</v>
      </c>
      <c r="O170" s="52">
        <f t="shared" si="26"/>
        <v>10.5</v>
      </c>
      <c r="P170" s="52">
        <f t="shared" si="26"/>
        <v>5.5</v>
      </c>
      <c r="Q170" s="52">
        <f t="shared" si="26"/>
        <v>0</v>
      </c>
      <c r="R170" s="52" t="e">
        <f t="shared" si="26"/>
        <v>#VALUE!</v>
      </c>
      <c r="S170" s="52">
        <f t="shared" si="26"/>
        <v>0</v>
      </c>
      <c r="T170" s="52">
        <f t="shared" si="26"/>
        <v>0</v>
      </c>
      <c r="U170" s="52">
        <f t="shared" si="26"/>
        <v>5.2</v>
      </c>
      <c r="V170" s="52">
        <f t="shared" si="26"/>
        <v>0</v>
      </c>
      <c r="W170" s="52">
        <f t="shared" si="26"/>
        <v>5.5</v>
      </c>
      <c r="X170" s="52">
        <f t="shared" si="26"/>
        <v>310.49999999999994</v>
      </c>
    </row>
    <row r="171" spans="1:24" ht="21" customHeight="1" x14ac:dyDescent="0.2">
      <c r="A171" s="260">
        <v>79</v>
      </c>
      <c r="B171" s="272"/>
      <c r="C171" s="61" t="s">
        <v>266</v>
      </c>
      <c r="D171" s="4"/>
      <c r="E171" s="20">
        <f t="shared" si="21"/>
        <v>50</v>
      </c>
      <c r="F171" s="20">
        <f t="shared" si="22"/>
        <v>20</v>
      </c>
      <c r="G171" s="20">
        <f>+G172+G173</f>
        <v>50</v>
      </c>
      <c r="H171" s="20">
        <v>20</v>
      </c>
      <c r="I171" s="52">
        <f>+I172+I173</f>
        <v>0</v>
      </c>
      <c r="J171" s="52"/>
      <c r="K171" s="52">
        <f>+K172+K173</f>
        <v>0</v>
      </c>
      <c r="L171" s="22">
        <f t="shared" si="19"/>
        <v>0</v>
      </c>
      <c r="M171" s="22"/>
      <c r="N171" s="22"/>
      <c r="P171" s="23">
        <f t="shared" si="20"/>
        <v>0</v>
      </c>
      <c r="Q171" s="23"/>
      <c r="X171" s="24"/>
    </row>
    <row r="172" spans="1:24" ht="38.25" x14ac:dyDescent="0.2">
      <c r="A172" s="271"/>
      <c r="B172" s="273"/>
      <c r="C172" s="27" t="s">
        <v>267</v>
      </c>
      <c r="D172" s="16" t="s">
        <v>268</v>
      </c>
      <c r="E172" s="20">
        <f t="shared" si="21"/>
        <v>20</v>
      </c>
      <c r="F172" s="20">
        <f t="shared" si="22"/>
        <v>20</v>
      </c>
      <c r="G172" s="20">
        <v>20</v>
      </c>
      <c r="H172" s="20">
        <v>20</v>
      </c>
      <c r="I172" s="20"/>
      <c r="J172" s="20"/>
      <c r="K172" s="20"/>
      <c r="L172" s="22">
        <f t="shared" si="19"/>
        <v>0</v>
      </c>
      <c r="M172" s="22"/>
      <c r="N172" s="22"/>
      <c r="P172" s="23">
        <f t="shared" si="20"/>
        <v>0</v>
      </c>
      <c r="Q172" s="23"/>
      <c r="X172" s="24"/>
    </row>
    <row r="173" spans="1:24" ht="15.6" customHeight="1" x14ac:dyDescent="0.2">
      <c r="A173" s="261"/>
      <c r="B173" s="274"/>
      <c r="C173" s="27" t="s">
        <v>269</v>
      </c>
      <c r="D173" s="16" t="s">
        <v>270</v>
      </c>
      <c r="E173" s="20">
        <f t="shared" si="21"/>
        <v>30</v>
      </c>
      <c r="F173" s="57">
        <f t="shared" si="22"/>
        <v>0</v>
      </c>
      <c r="G173" s="20">
        <v>30</v>
      </c>
      <c r="H173" s="57">
        <v>0</v>
      </c>
      <c r="I173" s="20"/>
      <c r="J173" s="20"/>
      <c r="K173" s="20"/>
      <c r="L173" s="22">
        <f t="shared" si="19"/>
        <v>0</v>
      </c>
      <c r="M173" s="22"/>
      <c r="N173" s="22"/>
      <c r="P173" s="23">
        <f t="shared" si="20"/>
        <v>0</v>
      </c>
      <c r="Q173" s="23"/>
      <c r="X173" s="24"/>
    </row>
    <row r="174" spans="1:24" ht="21" customHeight="1" x14ac:dyDescent="0.2">
      <c r="A174" s="13">
        <v>80</v>
      </c>
      <c r="B174" s="16"/>
      <c r="C174" s="40" t="s">
        <v>59</v>
      </c>
      <c r="D174" s="16"/>
      <c r="E174" s="20">
        <f t="shared" si="21"/>
        <v>689.5</v>
      </c>
      <c r="F174" s="20">
        <f t="shared" si="22"/>
        <v>492.99999999999994</v>
      </c>
      <c r="G174" s="20">
        <f>+G175+G176+G177+G178+G179+G181+G180</f>
        <v>232.7</v>
      </c>
      <c r="H174" s="20">
        <f>+H175+H176+H177+H178+H179+H181+H180</f>
        <v>182.5</v>
      </c>
      <c r="I174" s="20">
        <f>+I175+I176+I177+I178+I179+I181+I180</f>
        <v>0</v>
      </c>
      <c r="J174" s="20"/>
      <c r="K174" s="20">
        <f>+K175+K176+K177+K178+K179+K181+K180</f>
        <v>456.8</v>
      </c>
      <c r="L174" s="20">
        <f t="shared" ref="L174:X174" si="27">+L175+L176+L177+L178+L179+L181+L180</f>
        <v>65.7</v>
      </c>
      <c r="M174" s="20">
        <f t="shared" si="27"/>
        <v>55.2</v>
      </c>
      <c r="N174" s="20">
        <f t="shared" si="27"/>
        <v>0</v>
      </c>
      <c r="O174" s="20">
        <f t="shared" si="27"/>
        <v>10.5</v>
      </c>
      <c r="P174" s="20">
        <f t="shared" si="27"/>
        <v>5.5</v>
      </c>
      <c r="Q174" s="20">
        <f t="shared" si="27"/>
        <v>0</v>
      </c>
      <c r="R174" s="20" t="e">
        <f t="shared" si="27"/>
        <v>#VALUE!</v>
      </c>
      <c r="S174" s="20">
        <f t="shared" si="27"/>
        <v>0</v>
      </c>
      <c r="T174" s="20">
        <f t="shared" si="27"/>
        <v>0</v>
      </c>
      <c r="U174" s="20">
        <f t="shared" si="27"/>
        <v>5.2</v>
      </c>
      <c r="V174" s="20">
        <f t="shared" si="27"/>
        <v>0</v>
      </c>
      <c r="W174" s="20">
        <f t="shared" si="27"/>
        <v>5.5</v>
      </c>
      <c r="X174" s="20">
        <f t="shared" si="27"/>
        <v>310.49999999999994</v>
      </c>
    </row>
    <row r="175" spans="1:24" ht="27.6" customHeight="1" x14ac:dyDescent="0.2">
      <c r="A175" s="75" t="s">
        <v>271</v>
      </c>
      <c r="B175" s="16"/>
      <c r="C175" s="45" t="s">
        <v>272</v>
      </c>
      <c r="D175" s="16" t="s">
        <v>268</v>
      </c>
      <c r="E175" s="20">
        <f t="shared" si="21"/>
        <v>44</v>
      </c>
      <c r="F175" s="20">
        <f t="shared" si="22"/>
        <v>44</v>
      </c>
      <c r="G175" s="20">
        <v>44</v>
      </c>
      <c r="H175" s="20">
        <v>44</v>
      </c>
      <c r="I175" s="20"/>
      <c r="J175" s="20"/>
      <c r="K175" s="20"/>
      <c r="L175" s="22">
        <f t="shared" si="19"/>
        <v>0</v>
      </c>
      <c r="M175" s="22"/>
      <c r="N175" s="22"/>
      <c r="P175" s="23">
        <f t="shared" si="20"/>
        <v>0</v>
      </c>
      <c r="Q175" s="23"/>
      <c r="X175" s="24"/>
    </row>
    <row r="176" spans="1:24" ht="27.6" customHeight="1" x14ac:dyDescent="0.2">
      <c r="A176" s="75" t="s">
        <v>273</v>
      </c>
      <c r="B176" s="16"/>
      <c r="C176" s="45" t="s">
        <v>274</v>
      </c>
      <c r="D176" s="16" t="s">
        <v>275</v>
      </c>
      <c r="E176" s="20">
        <f t="shared" si="21"/>
        <v>40</v>
      </c>
      <c r="F176" s="20">
        <f t="shared" si="22"/>
        <v>40</v>
      </c>
      <c r="G176" s="20">
        <v>40</v>
      </c>
      <c r="H176" s="20">
        <v>40</v>
      </c>
      <c r="I176" s="20"/>
      <c r="J176" s="20"/>
      <c r="K176" s="20"/>
      <c r="L176" s="22">
        <f t="shared" si="19"/>
        <v>0</v>
      </c>
      <c r="M176" s="22"/>
      <c r="N176" s="22"/>
      <c r="P176" s="23">
        <f t="shared" si="20"/>
        <v>0</v>
      </c>
      <c r="Q176" s="23"/>
      <c r="X176" s="24"/>
    </row>
    <row r="177" spans="1:26" ht="40.5" customHeight="1" x14ac:dyDescent="0.2">
      <c r="A177" s="75" t="s">
        <v>276</v>
      </c>
      <c r="B177" s="16"/>
      <c r="C177" s="49" t="s">
        <v>277</v>
      </c>
      <c r="D177" s="16" t="s">
        <v>278</v>
      </c>
      <c r="E177" s="20">
        <f t="shared" si="21"/>
        <v>3</v>
      </c>
      <c r="F177" s="20">
        <f t="shared" si="22"/>
        <v>2.9</v>
      </c>
      <c r="G177" s="20">
        <v>3</v>
      </c>
      <c r="H177" s="20">
        <v>2.9</v>
      </c>
      <c r="I177" s="20"/>
      <c r="J177" s="20"/>
      <c r="K177" s="20"/>
      <c r="L177" s="22">
        <f t="shared" si="19"/>
        <v>0</v>
      </c>
      <c r="M177" s="22"/>
      <c r="N177" s="22"/>
      <c r="P177" s="23">
        <f t="shared" si="20"/>
        <v>0</v>
      </c>
      <c r="Q177" s="23"/>
      <c r="X177" s="24"/>
      <c r="Z177" s="37"/>
    </row>
    <row r="178" spans="1:26" ht="28.9" customHeight="1" x14ac:dyDescent="0.2">
      <c r="A178" s="75" t="s">
        <v>279</v>
      </c>
      <c r="B178" s="16"/>
      <c r="C178" s="48" t="s">
        <v>280</v>
      </c>
      <c r="D178" s="16" t="s">
        <v>278</v>
      </c>
      <c r="E178" s="20">
        <f t="shared" si="21"/>
        <v>3</v>
      </c>
      <c r="F178" s="20">
        <f t="shared" si="22"/>
        <v>3</v>
      </c>
      <c r="G178" s="20">
        <v>3</v>
      </c>
      <c r="H178" s="20">
        <v>3</v>
      </c>
      <c r="I178" s="20"/>
      <c r="J178" s="20"/>
      <c r="K178" s="20"/>
      <c r="L178" s="22">
        <f t="shared" si="19"/>
        <v>0</v>
      </c>
      <c r="M178" s="22"/>
      <c r="N178" s="22"/>
      <c r="P178" s="23">
        <f t="shared" si="20"/>
        <v>0</v>
      </c>
      <c r="Q178" s="23"/>
      <c r="X178" s="24"/>
    </row>
    <row r="179" spans="1:26" ht="25.5" x14ac:dyDescent="0.2">
      <c r="A179" s="75" t="s">
        <v>281</v>
      </c>
      <c r="B179" s="16"/>
      <c r="C179" s="48" t="s">
        <v>282</v>
      </c>
      <c r="D179" s="18" t="s">
        <v>283</v>
      </c>
      <c r="E179" s="20">
        <f t="shared" si="21"/>
        <v>1</v>
      </c>
      <c r="F179" s="57">
        <f t="shared" si="22"/>
        <v>0</v>
      </c>
      <c r="G179" s="20">
        <v>1</v>
      </c>
      <c r="H179" s="57">
        <v>0</v>
      </c>
      <c r="I179" s="20"/>
      <c r="J179" s="20"/>
      <c r="K179" s="20"/>
      <c r="L179" s="22">
        <f t="shared" si="19"/>
        <v>0</v>
      </c>
      <c r="M179" s="22"/>
      <c r="N179" s="22"/>
      <c r="P179" s="23">
        <f t="shared" si="20"/>
        <v>0</v>
      </c>
      <c r="Q179" s="23"/>
      <c r="X179" s="24"/>
    </row>
    <row r="180" spans="1:26" ht="25.5" x14ac:dyDescent="0.2">
      <c r="A180" s="75" t="s">
        <v>284</v>
      </c>
      <c r="B180" s="16"/>
      <c r="C180" s="48" t="s">
        <v>132</v>
      </c>
      <c r="D180" s="16" t="s">
        <v>285</v>
      </c>
      <c r="E180" s="20">
        <f t="shared" si="21"/>
        <v>14.2</v>
      </c>
      <c r="F180" s="57">
        <f t="shared" si="22"/>
        <v>0</v>
      </c>
      <c r="G180" s="20">
        <f>15-0.8</f>
        <v>14.2</v>
      </c>
      <c r="H180" s="57">
        <v>0</v>
      </c>
      <c r="I180" s="20"/>
      <c r="J180" s="20"/>
      <c r="K180" s="20"/>
      <c r="L180" s="22">
        <f t="shared" si="19"/>
        <v>0</v>
      </c>
      <c r="M180" s="22"/>
      <c r="N180" s="22"/>
      <c r="P180" s="23">
        <f t="shared" si="20"/>
        <v>0</v>
      </c>
      <c r="Q180" s="23"/>
      <c r="X180" s="24"/>
    </row>
    <row r="181" spans="1:26" ht="41.45" customHeight="1" x14ac:dyDescent="0.2">
      <c r="A181" s="75" t="s">
        <v>286</v>
      </c>
      <c r="B181" s="16"/>
      <c r="C181" s="43" t="s">
        <v>70</v>
      </c>
      <c r="D181" s="11"/>
      <c r="E181" s="53">
        <f t="shared" si="21"/>
        <v>584.29999999999995</v>
      </c>
      <c r="F181" s="53">
        <f t="shared" si="22"/>
        <v>403.09999999999997</v>
      </c>
      <c r="G181" s="53">
        <f>+G182+G183+G184+G185+G186+G187+G188+G189+G190+G191+G192+G193+G194+G195+G196+G197+G198</f>
        <v>127.5</v>
      </c>
      <c r="H181" s="53">
        <f>+H182+H183+H184+H185+H186+H187+H188+H189+H190+H191+H192+H193+H194+H195+H196+H197+H198</f>
        <v>92.600000000000009</v>
      </c>
      <c r="I181" s="70">
        <v>0</v>
      </c>
      <c r="J181" s="70">
        <v>0</v>
      </c>
      <c r="K181" s="53">
        <f t="shared" ref="K181:X181" si="28">+K182+K183+K184+K185+K186+K187+K188+K189+K190+K191+K192+K193+K194+K195+K196+K197+K198</f>
        <v>456.8</v>
      </c>
      <c r="L181" s="53">
        <f t="shared" si="28"/>
        <v>65.7</v>
      </c>
      <c r="M181" s="53">
        <f t="shared" si="28"/>
        <v>55.2</v>
      </c>
      <c r="N181" s="53">
        <f t="shared" si="28"/>
        <v>0</v>
      </c>
      <c r="O181" s="53">
        <f t="shared" si="28"/>
        <v>10.5</v>
      </c>
      <c r="P181" s="53">
        <f t="shared" si="28"/>
        <v>5.5</v>
      </c>
      <c r="Q181" s="53">
        <f t="shared" si="28"/>
        <v>0</v>
      </c>
      <c r="R181" s="53" t="e">
        <f t="shared" si="28"/>
        <v>#VALUE!</v>
      </c>
      <c r="S181" s="53">
        <f t="shared" si="28"/>
        <v>0</v>
      </c>
      <c r="T181" s="53">
        <f t="shared" si="28"/>
        <v>0</v>
      </c>
      <c r="U181" s="53">
        <f t="shared" si="28"/>
        <v>5.2</v>
      </c>
      <c r="V181" s="53">
        <f t="shared" si="28"/>
        <v>0</v>
      </c>
      <c r="W181" s="53">
        <f t="shared" si="28"/>
        <v>5.5</v>
      </c>
      <c r="X181" s="53">
        <f t="shared" si="28"/>
        <v>310.49999999999994</v>
      </c>
    </row>
    <row r="182" spans="1:26" ht="38.25" x14ac:dyDescent="0.2">
      <c r="A182" s="75" t="s">
        <v>287</v>
      </c>
      <c r="B182" s="16"/>
      <c r="C182" s="48" t="s">
        <v>288</v>
      </c>
      <c r="D182" s="16" t="s">
        <v>268</v>
      </c>
      <c r="E182" s="20">
        <f t="shared" si="21"/>
        <v>12</v>
      </c>
      <c r="F182" s="20">
        <f t="shared" si="22"/>
        <v>10.6</v>
      </c>
      <c r="G182" s="20">
        <f>3.8-2</f>
        <v>1.7999999999999998</v>
      </c>
      <c r="H182" s="20">
        <v>1.5</v>
      </c>
      <c r="I182" s="20"/>
      <c r="J182" s="20"/>
      <c r="K182" s="20">
        <f>12.2+2-4</f>
        <v>10.199999999999999</v>
      </c>
      <c r="L182" s="22">
        <f t="shared" si="19"/>
        <v>-4</v>
      </c>
      <c r="M182" s="22"/>
      <c r="N182" s="22"/>
      <c r="O182" s="22">
        <v>-4</v>
      </c>
      <c r="P182" s="23">
        <f t="shared" si="20"/>
        <v>0</v>
      </c>
      <c r="Q182" s="23"/>
      <c r="X182" s="50">
        <f>9+0.1</f>
        <v>9.1</v>
      </c>
    </row>
    <row r="183" spans="1:26" ht="28.5" customHeight="1" x14ac:dyDescent="0.2">
      <c r="A183" s="41" t="s">
        <v>289</v>
      </c>
      <c r="B183" s="16"/>
      <c r="C183" s="48" t="s">
        <v>290</v>
      </c>
      <c r="D183" s="18" t="s">
        <v>291</v>
      </c>
      <c r="E183" s="20">
        <f t="shared" si="21"/>
        <v>28.5</v>
      </c>
      <c r="F183" s="20">
        <f t="shared" si="22"/>
        <v>26.9</v>
      </c>
      <c r="G183" s="20">
        <v>11.6</v>
      </c>
      <c r="H183" s="20">
        <v>10</v>
      </c>
      <c r="I183" s="20"/>
      <c r="J183" s="20"/>
      <c r="K183" s="20">
        <v>16.899999999999999</v>
      </c>
      <c r="L183" s="22">
        <f t="shared" si="19"/>
        <v>0</v>
      </c>
      <c r="M183" s="22"/>
      <c r="N183" s="22"/>
      <c r="P183" s="23">
        <f t="shared" si="20"/>
        <v>0</v>
      </c>
      <c r="Q183" s="23"/>
      <c r="R183" s="3" t="s">
        <v>292</v>
      </c>
      <c r="X183" s="24">
        <v>16.899999999999999</v>
      </c>
    </row>
    <row r="184" spans="1:26" ht="38.25" x14ac:dyDescent="0.2">
      <c r="A184" s="75" t="s">
        <v>293</v>
      </c>
      <c r="B184" s="26"/>
      <c r="C184" s="48" t="s">
        <v>294</v>
      </c>
      <c r="D184" s="26" t="s">
        <v>270</v>
      </c>
      <c r="E184" s="20">
        <f t="shared" si="21"/>
        <v>48</v>
      </c>
      <c r="F184" s="20">
        <f t="shared" si="22"/>
        <v>46.9</v>
      </c>
      <c r="G184" s="20">
        <v>0.4</v>
      </c>
      <c r="H184" s="32">
        <f>0.2-0.1</f>
        <v>0.1</v>
      </c>
      <c r="I184" s="20"/>
      <c r="J184" s="20"/>
      <c r="K184" s="20">
        <f>39.6+4+4</f>
        <v>47.6</v>
      </c>
      <c r="L184" s="22">
        <f t="shared" si="19"/>
        <v>0</v>
      </c>
      <c r="M184" s="22"/>
      <c r="N184" s="22"/>
      <c r="O184" s="22"/>
      <c r="P184" s="23">
        <f t="shared" si="20"/>
        <v>4</v>
      </c>
      <c r="Q184" s="23"/>
      <c r="W184" s="3">
        <v>4</v>
      </c>
      <c r="X184" s="24">
        <v>46.8</v>
      </c>
    </row>
    <row r="185" spans="1:26" ht="13.9" customHeight="1" x14ac:dyDescent="0.2">
      <c r="A185" s="41" t="s">
        <v>295</v>
      </c>
      <c r="B185" s="16"/>
      <c r="C185" s="48" t="s">
        <v>296</v>
      </c>
      <c r="D185" s="16" t="s">
        <v>229</v>
      </c>
      <c r="E185" s="20">
        <f t="shared" si="21"/>
        <v>12.2</v>
      </c>
      <c r="F185" s="20">
        <f t="shared" si="22"/>
        <v>2.5</v>
      </c>
      <c r="G185" s="20">
        <f>20-7.8</f>
        <v>12.2</v>
      </c>
      <c r="H185" s="20">
        <v>2.5</v>
      </c>
      <c r="I185" s="20"/>
      <c r="J185" s="20"/>
      <c r="K185" s="20"/>
      <c r="L185" s="22">
        <f t="shared" si="19"/>
        <v>0</v>
      </c>
      <c r="M185" s="22"/>
      <c r="N185" s="22"/>
      <c r="P185" s="23">
        <f t="shared" si="20"/>
        <v>0</v>
      </c>
      <c r="Q185" s="23"/>
      <c r="X185" s="24"/>
    </row>
    <row r="186" spans="1:26" ht="70.5" customHeight="1" x14ac:dyDescent="0.2">
      <c r="A186" s="75" t="s">
        <v>297</v>
      </c>
      <c r="B186" s="16"/>
      <c r="C186" s="48" t="s">
        <v>298</v>
      </c>
      <c r="D186" s="16" t="s">
        <v>270</v>
      </c>
      <c r="E186" s="20">
        <f t="shared" si="21"/>
        <v>3</v>
      </c>
      <c r="F186" s="20">
        <f t="shared" si="22"/>
        <v>3</v>
      </c>
      <c r="G186" s="20">
        <v>3</v>
      </c>
      <c r="H186" s="20">
        <v>3</v>
      </c>
      <c r="I186" s="20"/>
      <c r="J186" s="20"/>
      <c r="K186" s="20"/>
      <c r="L186" s="22">
        <f t="shared" si="19"/>
        <v>0</v>
      </c>
      <c r="M186" s="22"/>
      <c r="N186" s="22"/>
      <c r="P186" s="23">
        <f t="shared" si="20"/>
        <v>0</v>
      </c>
      <c r="Q186" s="23"/>
      <c r="X186" s="24"/>
    </row>
    <row r="187" spans="1:26" ht="27.6" customHeight="1" x14ac:dyDescent="0.2">
      <c r="A187" s="41" t="s">
        <v>299</v>
      </c>
      <c r="B187" s="26"/>
      <c r="C187" s="48" t="s">
        <v>300</v>
      </c>
      <c r="D187" s="26" t="s">
        <v>278</v>
      </c>
      <c r="E187" s="20">
        <f t="shared" si="21"/>
        <v>0.5</v>
      </c>
      <c r="F187" s="20">
        <f t="shared" si="22"/>
        <v>0.3</v>
      </c>
      <c r="G187" s="20">
        <v>0.5</v>
      </c>
      <c r="H187" s="20">
        <v>0.3</v>
      </c>
      <c r="I187" s="20"/>
      <c r="J187" s="20"/>
      <c r="K187" s="20"/>
      <c r="L187" s="22">
        <f t="shared" si="19"/>
        <v>0</v>
      </c>
      <c r="M187" s="22"/>
      <c r="N187" s="22"/>
      <c r="P187" s="23">
        <f t="shared" si="20"/>
        <v>0</v>
      </c>
      <c r="Q187" s="23"/>
      <c r="X187" s="24"/>
    </row>
    <row r="188" spans="1:26" ht="15" customHeight="1" x14ac:dyDescent="0.2">
      <c r="A188" s="75" t="s">
        <v>301</v>
      </c>
      <c r="B188" s="16"/>
      <c r="C188" s="48" t="s">
        <v>302</v>
      </c>
      <c r="D188" s="18" t="s">
        <v>303</v>
      </c>
      <c r="E188" s="20">
        <f t="shared" si="21"/>
        <v>23</v>
      </c>
      <c r="F188" s="20">
        <f t="shared" si="22"/>
        <v>10.199999999999999</v>
      </c>
      <c r="G188" s="20">
        <v>23</v>
      </c>
      <c r="H188" s="20">
        <v>10.199999999999999</v>
      </c>
      <c r="I188" s="20"/>
      <c r="J188" s="20"/>
      <c r="K188" s="20"/>
      <c r="L188" s="22">
        <f t="shared" si="19"/>
        <v>0</v>
      </c>
      <c r="M188" s="22"/>
      <c r="N188" s="22"/>
      <c r="P188" s="23">
        <f t="shared" si="20"/>
        <v>0</v>
      </c>
      <c r="Q188" s="23"/>
      <c r="X188" s="24"/>
    </row>
    <row r="189" spans="1:26" ht="25.5" x14ac:dyDescent="0.2">
      <c r="A189" s="41" t="s">
        <v>304</v>
      </c>
      <c r="B189" s="16"/>
      <c r="C189" s="48" t="s">
        <v>305</v>
      </c>
      <c r="D189" s="18" t="s">
        <v>278</v>
      </c>
      <c r="E189" s="20">
        <f t="shared" si="21"/>
        <v>5</v>
      </c>
      <c r="F189" s="57">
        <f t="shared" si="22"/>
        <v>0</v>
      </c>
      <c r="G189" s="20">
        <v>5</v>
      </c>
      <c r="H189" s="57">
        <v>0</v>
      </c>
      <c r="I189" s="20"/>
      <c r="J189" s="20"/>
      <c r="K189" s="20"/>
      <c r="L189" s="22">
        <f t="shared" si="19"/>
        <v>0</v>
      </c>
      <c r="M189" s="22"/>
      <c r="N189" s="22"/>
      <c r="P189" s="23">
        <f t="shared" si="20"/>
        <v>0</v>
      </c>
      <c r="Q189" s="23"/>
      <c r="X189" s="24"/>
    </row>
    <row r="190" spans="1:26" ht="38.25" x14ac:dyDescent="0.2">
      <c r="A190" s="75" t="s">
        <v>306</v>
      </c>
      <c r="B190" s="16"/>
      <c r="C190" s="48" t="s">
        <v>307</v>
      </c>
      <c r="D190" s="16" t="s">
        <v>238</v>
      </c>
      <c r="E190" s="20">
        <f t="shared" si="21"/>
        <v>55.2</v>
      </c>
      <c r="F190" s="20">
        <f t="shared" si="22"/>
        <v>55.1</v>
      </c>
      <c r="G190" s="20">
        <f>50+5.2</f>
        <v>55.2</v>
      </c>
      <c r="H190" s="20">
        <v>55.1</v>
      </c>
      <c r="I190" s="20"/>
      <c r="J190" s="20"/>
      <c r="K190" s="20">
        <f>50-50</f>
        <v>0</v>
      </c>
      <c r="L190" s="22">
        <f t="shared" si="19"/>
        <v>5.2000000000000028</v>
      </c>
      <c r="M190" s="22">
        <f>50+5.2</f>
        <v>55.2</v>
      </c>
      <c r="N190" s="22"/>
      <c r="O190" s="3">
        <v>-50</v>
      </c>
      <c r="P190" s="23">
        <f t="shared" si="20"/>
        <v>0</v>
      </c>
      <c r="Q190" s="23"/>
      <c r="U190" s="47">
        <v>5.2</v>
      </c>
      <c r="X190" s="24"/>
    </row>
    <row r="191" spans="1:26" ht="26.1" customHeight="1" x14ac:dyDescent="0.2">
      <c r="A191" s="41" t="s">
        <v>308</v>
      </c>
      <c r="B191" s="16"/>
      <c r="C191" s="48" t="s">
        <v>309</v>
      </c>
      <c r="D191" s="16" t="s">
        <v>278</v>
      </c>
      <c r="E191" s="20">
        <f t="shared" si="21"/>
        <v>9.8000000000000007</v>
      </c>
      <c r="F191" s="20">
        <f t="shared" si="22"/>
        <v>6.3</v>
      </c>
      <c r="G191" s="20">
        <v>9.8000000000000007</v>
      </c>
      <c r="H191" s="20">
        <v>6.3</v>
      </c>
      <c r="I191" s="20"/>
      <c r="J191" s="20"/>
      <c r="K191" s="20"/>
      <c r="L191" s="22">
        <f t="shared" si="19"/>
        <v>0</v>
      </c>
      <c r="M191" s="22"/>
      <c r="N191" s="22"/>
      <c r="P191" s="23">
        <f t="shared" si="20"/>
        <v>0</v>
      </c>
      <c r="Q191" s="23"/>
      <c r="X191" s="24"/>
    </row>
    <row r="192" spans="1:26" ht="38.25" x14ac:dyDescent="0.2">
      <c r="A192" s="75" t="s">
        <v>310</v>
      </c>
      <c r="B192" s="26"/>
      <c r="C192" s="48" t="s">
        <v>311</v>
      </c>
      <c r="D192" s="26" t="s">
        <v>268</v>
      </c>
      <c r="E192" s="20">
        <f t="shared" si="21"/>
        <v>45.1</v>
      </c>
      <c r="F192" s="20">
        <f t="shared" si="22"/>
        <v>42.2</v>
      </c>
      <c r="G192" s="20"/>
      <c r="H192" s="20"/>
      <c r="I192" s="20"/>
      <c r="J192" s="20"/>
      <c r="K192" s="20">
        <v>45.1</v>
      </c>
      <c r="L192" s="22">
        <f t="shared" si="19"/>
        <v>0</v>
      </c>
      <c r="M192" s="22"/>
      <c r="N192" s="22"/>
      <c r="P192" s="23">
        <f t="shared" si="20"/>
        <v>0</v>
      </c>
      <c r="Q192" s="23"/>
      <c r="X192" s="24">
        <v>42.2</v>
      </c>
    </row>
    <row r="193" spans="1:24" ht="51" x14ac:dyDescent="0.2">
      <c r="A193" s="41" t="s">
        <v>312</v>
      </c>
      <c r="B193" s="26"/>
      <c r="C193" s="48" t="s">
        <v>313</v>
      </c>
      <c r="D193" s="26" t="s">
        <v>268</v>
      </c>
      <c r="E193" s="20">
        <f t="shared" si="21"/>
        <v>130.80000000000001</v>
      </c>
      <c r="F193" s="20">
        <f t="shared" si="22"/>
        <v>17</v>
      </c>
      <c r="G193" s="20">
        <f>1+0.5</f>
        <v>1.5</v>
      </c>
      <c r="H193" s="20">
        <v>1.4</v>
      </c>
      <c r="I193" s="20"/>
      <c r="J193" s="20"/>
      <c r="K193" s="20">
        <f>122-0.5+7.8</f>
        <v>129.30000000000001</v>
      </c>
      <c r="L193" s="22">
        <f t="shared" si="19"/>
        <v>0</v>
      </c>
      <c r="M193" s="22"/>
      <c r="N193" s="22"/>
      <c r="P193" s="23">
        <f t="shared" si="20"/>
        <v>0</v>
      </c>
      <c r="Q193" s="22"/>
      <c r="X193" s="24">
        <v>15.6</v>
      </c>
    </row>
    <row r="194" spans="1:24" ht="25.5" x14ac:dyDescent="0.2">
      <c r="A194" s="75" t="s">
        <v>314</v>
      </c>
      <c r="B194" s="26"/>
      <c r="C194" s="48" t="s">
        <v>315</v>
      </c>
      <c r="D194" s="26" t="s">
        <v>285</v>
      </c>
      <c r="E194" s="20">
        <f t="shared" si="21"/>
        <v>54</v>
      </c>
      <c r="F194" s="20">
        <f t="shared" si="22"/>
        <v>43.6</v>
      </c>
      <c r="G194" s="20">
        <v>0.5</v>
      </c>
      <c r="H194" s="20">
        <v>0.2</v>
      </c>
      <c r="I194" s="20"/>
      <c r="J194" s="20"/>
      <c r="K194" s="20">
        <f>44.5+45-36</f>
        <v>53.5</v>
      </c>
      <c r="L194" s="22">
        <f t="shared" si="19"/>
        <v>0</v>
      </c>
      <c r="M194" s="22"/>
      <c r="N194" s="22"/>
      <c r="P194" s="23">
        <f t="shared" si="20"/>
        <v>0</v>
      </c>
      <c r="Q194" s="23"/>
      <c r="X194" s="24">
        <v>43.4</v>
      </c>
    </row>
    <row r="195" spans="1:24" ht="28.15" customHeight="1" x14ac:dyDescent="0.2">
      <c r="A195" s="41" t="s">
        <v>316</v>
      </c>
      <c r="B195" s="26"/>
      <c r="C195" s="48" t="s">
        <v>317</v>
      </c>
      <c r="D195" s="26" t="s">
        <v>318</v>
      </c>
      <c r="E195" s="20">
        <f t="shared" si="21"/>
        <v>140</v>
      </c>
      <c r="F195" s="20">
        <f t="shared" si="22"/>
        <v>121.4</v>
      </c>
      <c r="G195" s="20">
        <v>1</v>
      </c>
      <c r="H195" s="57">
        <v>0</v>
      </c>
      <c r="I195" s="20"/>
      <c r="J195" s="20"/>
      <c r="K195" s="20">
        <f>73+66</f>
        <v>139</v>
      </c>
      <c r="L195" s="22">
        <f t="shared" si="19"/>
        <v>66</v>
      </c>
      <c r="M195" s="22"/>
      <c r="N195" s="22"/>
      <c r="O195" s="3">
        <v>66</v>
      </c>
      <c r="P195" s="23">
        <f t="shared" si="20"/>
        <v>0</v>
      </c>
      <c r="Q195" s="23"/>
      <c r="X195" s="24">
        <v>121.4</v>
      </c>
    </row>
    <row r="196" spans="1:24" ht="18.75" customHeight="1" x14ac:dyDescent="0.2">
      <c r="A196" s="75" t="s">
        <v>319</v>
      </c>
      <c r="B196" s="26"/>
      <c r="C196" s="48" t="s">
        <v>320</v>
      </c>
      <c r="D196" s="26" t="s">
        <v>318</v>
      </c>
      <c r="E196" s="20">
        <f t="shared" si="21"/>
        <v>5.2</v>
      </c>
      <c r="F196" s="20">
        <f t="shared" si="22"/>
        <v>5.2</v>
      </c>
      <c r="G196" s="20"/>
      <c r="H196" s="20"/>
      <c r="I196" s="20"/>
      <c r="J196" s="20"/>
      <c r="K196" s="20">
        <f>5+0.2</f>
        <v>5.2</v>
      </c>
      <c r="L196" s="22">
        <f t="shared" si="19"/>
        <v>0</v>
      </c>
      <c r="M196" s="22"/>
      <c r="N196" s="22"/>
      <c r="P196" s="23">
        <f t="shared" si="20"/>
        <v>0</v>
      </c>
      <c r="Q196" s="23"/>
      <c r="X196" s="24">
        <v>5.2</v>
      </c>
    </row>
    <row r="197" spans="1:24" x14ac:dyDescent="0.2">
      <c r="A197" s="41" t="s">
        <v>321</v>
      </c>
      <c r="B197" s="76"/>
      <c r="C197" s="24" t="s">
        <v>322</v>
      </c>
      <c r="D197" s="16" t="s">
        <v>318</v>
      </c>
      <c r="E197" s="20">
        <f t="shared" si="21"/>
        <v>2</v>
      </c>
      <c r="F197" s="20">
        <f t="shared" si="22"/>
        <v>2</v>
      </c>
      <c r="G197" s="17">
        <f>20-18</f>
        <v>2</v>
      </c>
      <c r="H197" s="17">
        <v>2</v>
      </c>
      <c r="I197" s="24"/>
      <c r="J197" s="24"/>
      <c r="K197" s="24"/>
      <c r="L197" s="22">
        <f t="shared" si="19"/>
        <v>0</v>
      </c>
      <c r="P197" s="23">
        <f t="shared" si="20"/>
        <v>0</v>
      </c>
      <c r="X197" s="24"/>
    </row>
    <row r="198" spans="1:24" ht="51" x14ac:dyDescent="0.2">
      <c r="A198" s="75" t="s">
        <v>323</v>
      </c>
      <c r="B198" s="76"/>
      <c r="C198" s="45" t="s">
        <v>324</v>
      </c>
      <c r="D198" s="16" t="s">
        <v>278</v>
      </c>
      <c r="E198" s="77">
        <f t="shared" si="21"/>
        <v>10</v>
      </c>
      <c r="F198" s="20">
        <f t="shared" si="22"/>
        <v>9.9</v>
      </c>
      <c r="G198" s="78">
        <f>10-10</f>
        <v>0</v>
      </c>
      <c r="H198" s="78"/>
      <c r="I198" s="78"/>
      <c r="J198" s="78"/>
      <c r="K198" s="78">
        <f>10-1.5+1.5</f>
        <v>10</v>
      </c>
      <c r="L198" s="22">
        <f t="shared" si="19"/>
        <v>-1.5</v>
      </c>
      <c r="O198" s="3">
        <v>-1.5</v>
      </c>
      <c r="P198" s="23">
        <f t="shared" si="20"/>
        <v>1.5</v>
      </c>
      <c r="R198" s="3" t="s">
        <v>325</v>
      </c>
      <c r="W198" s="3">
        <v>1.5</v>
      </c>
      <c r="X198" s="24">
        <v>9.9</v>
      </c>
    </row>
    <row r="199" spans="1:24" ht="27" customHeight="1" x14ac:dyDescent="0.2">
      <c r="A199" s="13">
        <v>81</v>
      </c>
      <c r="B199" s="11" t="s">
        <v>326</v>
      </c>
      <c r="C199" s="79" t="s">
        <v>327</v>
      </c>
      <c r="D199" s="12"/>
      <c r="E199" s="80">
        <f t="shared" si="21"/>
        <v>3454.9999999999995</v>
      </c>
      <c r="F199" s="52">
        <f t="shared" si="22"/>
        <v>2935.6</v>
      </c>
      <c r="G199" s="80">
        <f>+G200+G243+G244+G245+G246+G247+G248+G249+G250+G251+G252+G253</f>
        <v>1000.8999999999997</v>
      </c>
      <c r="H199" s="80">
        <f>+H200+H243+H244+H245+H246+H247+H248+H249+H250+H251+H252+H253</f>
        <v>950.6999999999997</v>
      </c>
      <c r="I199" s="222">
        <f>+I244+I245+I247+I246+I243+I248+I249+I251+I250+I252+I253+I200</f>
        <v>0</v>
      </c>
      <c r="J199" s="222">
        <f>+J244+J245+J247+J246+J243+J248+J249+J251+J250+J252+J253+J200</f>
        <v>0</v>
      </c>
      <c r="K199" s="80">
        <f>+K244+K245+K247+K246+K243+K248+K249+K251+K250+K252+K253+K200</f>
        <v>2454.1</v>
      </c>
      <c r="L199" s="80">
        <f t="shared" ref="L199:X199" si="29">+L244+L245+L247+L246+L243+L248+L249+L251+L250+L252+L253+L200</f>
        <v>323.40000000000003</v>
      </c>
      <c r="M199" s="80">
        <f t="shared" si="29"/>
        <v>13.200000000000001</v>
      </c>
      <c r="N199" s="80">
        <f t="shared" si="29"/>
        <v>0</v>
      </c>
      <c r="O199" s="80">
        <f t="shared" si="29"/>
        <v>310.2</v>
      </c>
      <c r="P199" s="80">
        <f t="shared" si="29"/>
        <v>29.2</v>
      </c>
      <c r="Q199" s="80">
        <f t="shared" si="29"/>
        <v>0</v>
      </c>
      <c r="R199" s="80">
        <f t="shared" si="29"/>
        <v>0</v>
      </c>
      <c r="S199" s="80">
        <f t="shared" si="29"/>
        <v>0</v>
      </c>
      <c r="T199" s="80">
        <f t="shared" si="29"/>
        <v>0</v>
      </c>
      <c r="U199" s="80">
        <f t="shared" si="29"/>
        <v>0</v>
      </c>
      <c r="V199" s="80">
        <f t="shared" si="29"/>
        <v>0</v>
      </c>
      <c r="W199" s="80">
        <f t="shared" si="29"/>
        <v>29.2</v>
      </c>
      <c r="X199" s="80">
        <f t="shared" si="29"/>
        <v>1984.9</v>
      </c>
    </row>
    <row r="200" spans="1:24" ht="12.6" customHeight="1" x14ac:dyDescent="0.2">
      <c r="A200" s="13">
        <v>82</v>
      </c>
      <c r="B200" s="16"/>
      <c r="C200" s="40" t="s">
        <v>328</v>
      </c>
      <c r="D200" s="18"/>
      <c r="E200" s="20">
        <f t="shared" si="21"/>
        <v>3139.8999999999996</v>
      </c>
      <c r="F200" s="20">
        <f t="shared" si="22"/>
        <v>2620.6</v>
      </c>
      <c r="G200" s="20">
        <f>G201+G242</f>
        <v>685.8</v>
      </c>
      <c r="H200" s="20">
        <f>H201+H242</f>
        <v>635.69999999999993</v>
      </c>
      <c r="I200" s="20">
        <f>I201+I242</f>
        <v>0</v>
      </c>
      <c r="J200" s="20"/>
      <c r="K200" s="20">
        <f>K201+K242</f>
        <v>2454.1</v>
      </c>
      <c r="L200" s="20">
        <f t="shared" ref="L200:X200" si="30">L201+L242</f>
        <v>311.8</v>
      </c>
      <c r="M200" s="20">
        <f t="shared" si="30"/>
        <v>1.6</v>
      </c>
      <c r="N200" s="20">
        <f t="shared" si="30"/>
        <v>0</v>
      </c>
      <c r="O200" s="20">
        <f t="shared" si="30"/>
        <v>310.2</v>
      </c>
      <c r="P200" s="20">
        <f t="shared" si="30"/>
        <v>29.2</v>
      </c>
      <c r="Q200" s="20">
        <f t="shared" si="30"/>
        <v>0</v>
      </c>
      <c r="R200" s="20">
        <f t="shared" si="30"/>
        <v>0</v>
      </c>
      <c r="S200" s="20">
        <f t="shared" si="30"/>
        <v>0</v>
      </c>
      <c r="T200" s="20">
        <f t="shared" si="30"/>
        <v>0</v>
      </c>
      <c r="U200" s="20">
        <f t="shared" si="30"/>
        <v>0</v>
      </c>
      <c r="V200" s="20">
        <f t="shared" si="30"/>
        <v>0</v>
      </c>
      <c r="W200" s="20">
        <f t="shared" si="30"/>
        <v>29.2</v>
      </c>
      <c r="X200" s="20">
        <f t="shared" si="30"/>
        <v>1984.9</v>
      </c>
    </row>
    <row r="201" spans="1:24" ht="39" customHeight="1" x14ac:dyDescent="0.2">
      <c r="A201" s="41" t="s">
        <v>329</v>
      </c>
      <c r="B201" s="16"/>
      <c r="C201" s="43" t="s">
        <v>70</v>
      </c>
      <c r="D201" s="18"/>
      <c r="E201" s="53">
        <f t="shared" si="21"/>
        <v>3119.8999999999996</v>
      </c>
      <c r="F201" s="53">
        <f t="shared" si="22"/>
        <v>2600.6</v>
      </c>
      <c r="G201" s="53">
        <f>+G202+G203+G204+G205+G206+G207+G208+G209+G210+G211+G212+G213+G214+G215+G216+G217+G218+G220+G221+G222+G223+G224+G225+G226+G227+G228+G229+G230+G231+G232+G233+G234+G235+G236+G237+G238+G239+G240+G241</f>
        <v>685.8</v>
      </c>
      <c r="H201" s="53">
        <f>+H202+H203+H204+H205+H206+H207+H208+H209+H210+H211+H212+H213+H214+H215+H216+H217+H218+H220+H221+H222+H223+H224+H225+H226+H227+H228+H229+H230+H231+H232+H233+H234+H235+H236+H237+H238+H239+H240+H241</f>
        <v>635.69999999999993</v>
      </c>
      <c r="I201" s="70">
        <f>+I202+I203+I204+I205+I206+I207+I208+I209+I210+I211+I212+I213+I214+I215+I216+I217+I218+I220+I221+I222+I223+I224+I225+I226+I227+I228+I229+I230+I231+I232+I233+I234+I235+I236+I237+I238+I239+I240+I241</f>
        <v>0</v>
      </c>
      <c r="J201" s="70">
        <f>+J202+J203+J204+J205+J206+J207+J208+J209+J210+J211+J212+J213+J214+J215+J216+J217+J218+J220+J221+J222+J223+J224+J225+J226+J227+J228+J229+J230+J231+J232+J233+J234+J235+J236+J237+J238+J239+J240+J241</f>
        <v>0</v>
      </c>
      <c r="K201" s="53">
        <f>+K202+K203+K204+K205+K206+K207+K208+K209+K210+K211+K212+K213+K214+K215+K216+K217+K218+K220+K221+K222+K223+K224+K225+K226+K227+K228+K229+K230+K231+K232+K233+K234+K235+K236+K237+K238+K239+K240+K241</f>
        <v>2434.1</v>
      </c>
      <c r="L201" s="53">
        <f t="shared" ref="L201:X201" si="31">+L202+L203+L204+L205+L206+L207+L208+L209+L210+L211+L212+L213+L214+L215+L216+L217+L218+L220+L221+L222+L223+L224+L225+L226+L227+L228+L229+L230+L231+L232+L233+L234+L235+L236+L237+L238+L239+L240+L241</f>
        <v>311.8</v>
      </c>
      <c r="M201" s="53">
        <f t="shared" si="31"/>
        <v>1.6</v>
      </c>
      <c r="N201" s="53">
        <f t="shared" si="31"/>
        <v>0</v>
      </c>
      <c r="O201" s="53">
        <f t="shared" si="31"/>
        <v>310.2</v>
      </c>
      <c r="P201" s="53">
        <f t="shared" si="31"/>
        <v>29.2</v>
      </c>
      <c r="Q201" s="53">
        <f t="shared" si="31"/>
        <v>0</v>
      </c>
      <c r="R201" s="53">
        <f t="shared" si="31"/>
        <v>0</v>
      </c>
      <c r="S201" s="53">
        <f t="shared" si="31"/>
        <v>0</v>
      </c>
      <c r="T201" s="53">
        <f t="shared" si="31"/>
        <v>0</v>
      </c>
      <c r="U201" s="53">
        <f t="shared" si="31"/>
        <v>0</v>
      </c>
      <c r="V201" s="53">
        <f t="shared" si="31"/>
        <v>0</v>
      </c>
      <c r="W201" s="53">
        <f t="shared" si="31"/>
        <v>29.2</v>
      </c>
      <c r="X201" s="53">
        <f t="shared" si="31"/>
        <v>1964.9</v>
      </c>
    </row>
    <row r="202" spans="1:24" ht="27.6" customHeight="1" x14ac:dyDescent="0.2">
      <c r="A202" s="41" t="s">
        <v>330</v>
      </c>
      <c r="B202" s="16"/>
      <c r="C202" s="49" t="s">
        <v>331</v>
      </c>
      <c r="D202" s="18" t="s">
        <v>332</v>
      </c>
      <c r="E202" s="20">
        <f t="shared" si="21"/>
        <v>103</v>
      </c>
      <c r="F202" s="20">
        <f t="shared" si="22"/>
        <v>70.699999999999989</v>
      </c>
      <c r="G202" s="20">
        <f>32+63+(10-2)-63</f>
        <v>40</v>
      </c>
      <c r="H202" s="20">
        <v>19.399999999999999</v>
      </c>
      <c r="I202" s="20"/>
      <c r="J202" s="20"/>
      <c r="K202" s="20">
        <v>63</v>
      </c>
      <c r="L202" s="22">
        <f t="shared" ref="L202:L265" si="32">+M202+O202</f>
        <v>0</v>
      </c>
      <c r="M202" s="22"/>
      <c r="N202" s="22"/>
      <c r="P202" s="23">
        <f t="shared" ref="P202:P265" si="33">+Q202+W202</f>
        <v>0</v>
      </c>
      <c r="Q202" s="23"/>
      <c r="X202" s="24">
        <v>51.3</v>
      </c>
    </row>
    <row r="203" spans="1:24" x14ac:dyDescent="0.2">
      <c r="A203" s="41" t="s">
        <v>333</v>
      </c>
      <c r="B203" s="16"/>
      <c r="C203" s="49" t="s">
        <v>334</v>
      </c>
      <c r="D203" s="18" t="s">
        <v>332</v>
      </c>
      <c r="E203" s="20">
        <f t="shared" si="21"/>
        <v>24.5</v>
      </c>
      <c r="F203" s="20">
        <f t="shared" si="22"/>
        <v>11.4</v>
      </c>
      <c r="G203" s="20"/>
      <c r="H203" s="20"/>
      <c r="I203" s="20"/>
      <c r="J203" s="20"/>
      <c r="K203" s="20">
        <v>24.5</v>
      </c>
      <c r="L203" s="22">
        <f t="shared" si="32"/>
        <v>0</v>
      </c>
      <c r="M203" s="22"/>
      <c r="N203" s="22"/>
      <c r="P203" s="23">
        <f t="shared" si="33"/>
        <v>0</v>
      </c>
      <c r="Q203" s="23"/>
      <c r="X203" s="24">
        <v>11.4</v>
      </c>
    </row>
    <row r="204" spans="1:24" x14ac:dyDescent="0.2">
      <c r="A204" s="41" t="s">
        <v>335</v>
      </c>
      <c r="B204" s="16"/>
      <c r="C204" s="49" t="s">
        <v>336</v>
      </c>
      <c r="D204" s="18" t="s">
        <v>332</v>
      </c>
      <c r="E204" s="20">
        <f t="shared" si="21"/>
        <v>27.9</v>
      </c>
      <c r="F204" s="20">
        <f t="shared" si="22"/>
        <v>16.7</v>
      </c>
      <c r="G204" s="20"/>
      <c r="H204" s="20"/>
      <c r="I204" s="20"/>
      <c r="J204" s="20"/>
      <c r="K204" s="20">
        <v>27.9</v>
      </c>
      <c r="L204" s="22">
        <f t="shared" si="32"/>
        <v>0</v>
      </c>
      <c r="M204" s="22"/>
      <c r="N204" s="22"/>
      <c r="P204" s="23">
        <f t="shared" si="33"/>
        <v>0</v>
      </c>
      <c r="Q204" s="23"/>
      <c r="X204" s="24">
        <v>16.7</v>
      </c>
    </row>
    <row r="205" spans="1:24" ht="27" customHeight="1" x14ac:dyDescent="0.2">
      <c r="A205" s="41" t="s">
        <v>337</v>
      </c>
      <c r="B205" s="16"/>
      <c r="C205" s="48" t="s">
        <v>338</v>
      </c>
      <c r="D205" s="18" t="s">
        <v>339</v>
      </c>
      <c r="E205" s="20">
        <f t="shared" si="21"/>
        <v>23</v>
      </c>
      <c r="F205" s="20">
        <f t="shared" si="22"/>
        <v>16.5</v>
      </c>
      <c r="G205" s="20">
        <f>20+3</f>
        <v>23</v>
      </c>
      <c r="H205" s="20">
        <v>16.5</v>
      </c>
      <c r="I205" s="20"/>
      <c r="J205" s="20"/>
      <c r="K205" s="20"/>
      <c r="L205" s="22">
        <f t="shared" si="32"/>
        <v>0</v>
      </c>
      <c r="M205" s="22"/>
      <c r="N205" s="22"/>
      <c r="P205" s="23">
        <f t="shared" si="33"/>
        <v>0</v>
      </c>
      <c r="Q205" s="23"/>
      <c r="X205" s="24"/>
    </row>
    <row r="206" spans="1:24" ht="40.15" customHeight="1" x14ac:dyDescent="0.2">
      <c r="A206" s="41" t="s">
        <v>340</v>
      </c>
      <c r="B206" s="16"/>
      <c r="C206" s="40" t="s">
        <v>341</v>
      </c>
      <c r="D206" s="18" t="s">
        <v>332</v>
      </c>
      <c r="E206" s="20">
        <f t="shared" si="21"/>
        <v>20</v>
      </c>
      <c r="F206" s="20">
        <f t="shared" si="22"/>
        <v>11</v>
      </c>
      <c r="G206" s="20">
        <v>20</v>
      </c>
      <c r="H206" s="20">
        <v>11</v>
      </c>
      <c r="I206" s="20"/>
      <c r="J206" s="20"/>
      <c r="K206" s="20"/>
      <c r="L206" s="22">
        <f t="shared" si="32"/>
        <v>0</v>
      </c>
      <c r="M206" s="22"/>
      <c r="N206" s="22"/>
      <c r="P206" s="23">
        <f t="shared" si="33"/>
        <v>0</v>
      </c>
      <c r="Q206" s="23"/>
      <c r="X206" s="24"/>
    </row>
    <row r="207" spans="1:24" ht="25.5" x14ac:dyDescent="0.2">
      <c r="A207" s="41" t="s">
        <v>342</v>
      </c>
      <c r="B207" s="16"/>
      <c r="C207" s="40" t="s">
        <v>343</v>
      </c>
      <c r="D207" s="18" t="s">
        <v>332</v>
      </c>
      <c r="E207" s="20">
        <f t="shared" ref="E207:E270" si="34">+G207+K207</f>
        <v>15.7</v>
      </c>
      <c r="F207" s="20">
        <f t="shared" ref="F207:F270" si="35">+H207+X207</f>
        <v>15.6</v>
      </c>
      <c r="G207" s="20"/>
      <c r="H207" s="20"/>
      <c r="I207" s="20"/>
      <c r="J207" s="20"/>
      <c r="K207" s="20">
        <v>15.7</v>
      </c>
      <c r="L207" s="22">
        <f t="shared" si="32"/>
        <v>0</v>
      </c>
      <c r="M207" s="22"/>
      <c r="N207" s="22"/>
      <c r="P207" s="23">
        <f t="shared" si="33"/>
        <v>0</v>
      </c>
      <c r="Q207" s="23"/>
      <c r="X207" s="24">
        <v>15.6</v>
      </c>
    </row>
    <row r="208" spans="1:24" ht="15" customHeight="1" x14ac:dyDescent="0.2">
      <c r="A208" s="41" t="s">
        <v>344</v>
      </c>
      <c r="B208" s="16"/>
      <c r="C208" s="40" t="s">
        <v>345</v>
      </c>
      <c r="D208" s="18" t="s">
        <v>346</v>
      </c>
      <c r="E208" s="20">
        <f t="shared" si="34"/>
        <v>5</v>
      </c>
      <c r="F208" s="20">
        <f t="shared" si="35"/>
        <v>4.9000000000000004</v>
      </c>
      <c r="G208" s="20"/>
      <c r="H208" s="20"/>
      <c r="I208" s="20"/>
      <c r="J208" s="20"/>
      <c r="K208" s="20">
        <v>5</v>
      </c>
      <c r="L208" s="22">
        <f t="shared" si="32"/>
        <v>0</v>
      </c>
      <c r="M208" s="22"/>
      <c r="N208" s="22"/>
      <c r="P208" s="23">
        <f t="shared" si="33"/>
        <v>0</v>
      </c>
      <c r="Q208" s="23"/>
      <c r="X208" s="24">
        <v>4.9000000000000004</v>
      </c>
    </row>
    <row r="209" spans="1:26" ht="38.25" x14ac:dyDescent="0.2">
      <c r="A209" s="41" t="s">
        <v>347</v>
      </c>
      <c r="B209" s="16"/>
      <c r="C209" s="40" t="s">
        <v>348</v>
      </c>
      <c r="D209" s="18" t="s">
        <v>318</v>
      </c>
      <c r="E209" s="20">
        <f t="shared" si="34"/>
        <v>9</v>
      </c>
      <c r="F209" s="20">
        <f t="shared" si="35"/>
        <v>9</v>
      </c>
      <c r="G209" s="20">
        <v>9</v>
      </c>
      <c r="H209" s="20">
        <v>9</v>
      </c>
      <c r="I209" s="20"/>
      <c r="J209" s="20"/>
      <c r="K209" s="20"/>
      <c r="L209" s="22">
        <f t="shared" si="32"/>
        <v>0</v>
      </c>
      <c r="M209" s="22"/>
      <c r="N209" s="22"/>
      <c r="P209" s="23">
        <f t="shared" si="33"/>
        <v>0</v>
      </c>
      <c r="Q209" s="23"/>
      <c r="X209" s="24"/>
    </row>
    <row r="210" spans="1:26" ht="40.15" customHeight="1" x14ac:dyDescent="0.2">
      <c r="A210" s="41" t="s">
        <v>349</v>
      </c>
      <c r="B210" s="26"/>
      <c r="C210" s="27" t="s">
        <v>350</v>
      </c>
      <c r="D210" s="38" t="s">
        <v>351</v>
      </c>
      <c r="E210" s="20">
        <f t="shared" si="34"/>
        <v>176.1</v>
      </c>
      <c r="F210" s="20">
        <f t="shared" si="35"/>
        <v>133.19999999999999</v>
      </c>
      <c r="G210" s="20"/>
      <c r="H210" s="20"/>
      <c r="I210" s="20"/>
      <c r="J210" s="20"/>
      <c r="K210" s="20">
        <f>255-78.9</f>
        <v>176.1</v>
      </c>
      <c r="L210" s="22">
        <f t="shared" si="32"/>
        <v>0</v>
      </c>
      <c r="M210" s="22"/>
      <c r="N210" s="22"/>
      <c r="P210" s="23">
        <f t="shared" si="33"/>
        <v>0</v>
      </c>
      <c r="Q210" s="23"/>
      <c r="X210" s="24">
        <v>133.19999999999999</v>
      </c>
    </row>
    <row r="211" spans="1:26" ht="29.45" customHeight="1" x14ac:dyDescent="0.2">
      <c r="A211" s="41" t="s">
        <v>352</v>
      </c>
      <c r="B211" s="16"/>
      <c r="C211" s="27" t="s">
        <v>353</v>
      </c>
      <c r="D211" s="38" t="s">
        <v>354</v>
      </c>
      <c r="E211" s="20">
        <f t="shared" si="34"/>
        <v>45.3</v>
      </c>
      <c r="F211" s="20">
        <f t="shared" si="35"/>
        <v>15.1</v>
      </c>
      <c r="G211" s="20"/>
      <c r="H211" s="20"/>
      <c r="I211" s="20"/>
      <c r="J211" s="20"/>
      <c r="K211" s="20">
        <f>17.5+15+12.8</f>
        <v>45.3</v>
      </c>
      <c r="L211" s="22">
        <f t="shared" si="32"/>
        <v>12.8</v>
      </c>
      <c r="M211" s="22"/>
      <c r="N211" s="22"/>
      <c r="O211" s="3">
        <v>12.8</v>
      </c>
      <c r="P211" s="23">
        <f t="shared" si="33"/>
        <v>0</v>
      </c>
      <c r="Q211" s="81"/>
      <c r="X211" s="24">
        <v>15.1</v>
      </c>
    </row>
    <row r="212" spans="1:26" ht="25.5" x14ac:dyDescent="0.2">
      <c r="A212" s="41" t="s">
        <v>355</v>
      </c>
      <c r="B212" s="82"/>
      <c r="C212" s="49" t="s">
        <v>356</v>
      </c>
      <c r="D212" s="18" t="s">
        <v>357</v>
      </c>
      <c r="E212" s="20">
        <f t="shared" si="34"/>
        <v>27</v>
      </c>
      <c r="F212" s="20">
        <f t="shared" si="35"/>
        <v>26.7</v>
      </c>
      <c r="G212" s="20"/>
      <c r="H212" s="20"/>
      <c r="I212" s="20"/>
      <c r="J212" s="20"/>
      <c r="K212" s="20">
        <f>54-27</f>
        <v>27</v>
      </c>
      <c r="L212" s="22">
        <f t="shared" si="32"/>
        <v>-27</v>
      </c>
      <c r="M212" s="22"/>
      <c r="N212" s="22"/>
      <c r="O212" s="3">
        <v>-27</v>
      </c>
      <c r="P212" s="23">
        <f t="shared" si="33"/>
        <v>0</v>
      </c>
      <c r="Q212" s="23"/>
      <c r="X212" s="24">
        <v>26.7</v>
      </c>
    </row>
    <row r="213" spans="1:26" ht="25.5" x14ac:dyDescent="0.2">
      <c r="A213" s="41" t="s">
        <v>358</v>
      </c>
      <c r="B213" s="82"/>
      <c r="C213" s="49" t="s">
        <v>359</v>
      </c>
      <c r="D213" s="18" t="s">
        <v>360</v>
      </c>
      <c r="E213" s="20">
        <f t="shared" si="34"/>
        <v>8.1</v>
      </c>
      <c r="F213" s="20">
        <f t="shared" si="35"/>
        <v>6.4</v>
      </c>
      <c r="G213" s="20"/>
      <c r="H213" s="20"/>
      <c r="I213" s="20"/>
      <c r="J213" s="20"/>
      <c r="K213" s="20">
        <f>10-1.9</f>
        <v>8.1</v>
      </c>
      <c r="L213" s="22">
        <f t="shared" si="32"/>
        <v>-1.9</v>
      </c>
      <c r="M213" s="22"/>
      <c r="N213" s="22"/>
      <c r="O213" s="3">
        <v>-1.9</v>
      </c>
      <c r="P213" s="23">
        <f t="shared" si="33"/>
        <v>0</v>
      </c>
      <c r="Q213" s="23"/>
      <c r="U213" s="47">
        <v>-1.9</v>
      </c>
      <c r="X213" s="24">
        <v>6.4</v>
      </c>
    </row>
    <row r="214" spans="1:26" ht="28.5" customHeight="1" x14ac:dyDescent="0.2">
      <c r="A214" s="41" t="s">
        <v>361</v>
      </c>
      <c r="B214" s="16"/>
      <c r="C214" s="48" t="s">
        <v>362</v>
      </c>
      <c r="D214" s="18" t="s">
        <v>249</v>
      </c>
      <c r="E214" s="20">
        <f t="shared" si="34"/>
        <v>60</v>
      </c>
      <c r="F214" s="20">
        <f t="shared" si="35"/>
        <v>56.8</v>
      </c>
      <c r="G214" s="20">
        <v>60</v>
      </c>
      <c r="H214" s="20">
        <v>56.8</v>
      </c>
      <c r="I214" s="20"/>
      <c r="J214" s="20"/>
      <c r="K214" s="20"/>
      <c r="L214" s="22">
        <f t="shared" si="32"/>
        <v>0</v>
      </c>
      <c r="M214" s="22"/>
      <c r="N214" s="22"/>
      <c r="P214" s="23">
        <f t="shared" si="33"/>
        <v>0</v>
      </c>
      <c r="Q214" s="23"/>
      <c r="X214" s="24"/>
    </row>
    <row r="215" spans="1:26" x14ac:dyDescent="0.2">
      <c r="A215" s="41" t="s">
        <v>363</v>
      </c>
      <c r="B215" s="16"/>
      <c r="C215" s="48" t="s">
        <v>364</v>
      </c>
      <c r="D215" s="18" t="s">
        <v>249</v>
      </c>
      <c r="E215" s="20">
        <f t="shared" si="34"/>
        <v>60</v>
      </c>
      <c r="F215" s="20">
        <f t="shared" si="35"/>
        <v>56.7</v>
      </c>
      <c r="G215" s="20">
        <v>60</v>
      </c>
      <c r="H215" s="20">
        <v>56.7</v>
      </c>
      <c r="I215" s="20"/>
      <c r="J215" s="20"/>
      <c r="K215" s="20"/>
      <c r="L215" s="22">
        <f t="shared" si="32"/>
        <v>0</v>
      </c>
      <c r="M215" s="22"/>
      <c r="N215" s="22"/>
      <c r="P215" s="23">
        <f t="shared" si="33"/>
        <v>0</v>
      </c>
      <c r="Q215" s="23"/>
      <c r="X215" s="24"/>
    </row>
    <row r="216" spans="1:26" ht="25.9" customHeight="1" x14ac:dyDescent="0.2">
      <c r="A216" s="41" t="s">
        <v>365</v>
      </c>
      <c r="B216" s="16"/>
      <c r="C216" s="48" t="s">
        <v>366</v>
      </c>
      <c r="D216" s="18" t="s">
        <v>351</v>
      </c>
      <c r="E216" s="20">
        <f t="shared" si="34"/>
        <v>105</v>
      </c>
      <c r="F216" s="20">
        <f t="shared" si="35"/>
        <v>105</v>
      </c>
      <c r="G216" s="20"/>
      <c r="H216" s="20"/>
      <c r="I216" s="20"/>
      <c r="J216" s="20"/>
      <c r="K216" s="20">
        <v>105</v>
      </c>
      <c r="L216" s="22">
        <f t="shared" si="32"/>
        <v>0</v>
      </c>
      <c r="M216" s="22"/>
      <c r="N216" s="22"/>
      <c r="P216" s="23">
        <f t="shared" si="33"/>
        <v>0</v>
      </c>
      <c r="Q216" s="23"/>
      <c r="X216" s="24">
        <v>105</v>
      </c>
    </row>
    <row r="217" spans="1:26" ht="25.9" customHeight="1" x14ac:dyDescent="0.2">
      <c r="A217" s="41" t="s">
        <v>367</v>
      </c>
      <c r="B217" s="16"/>
      <c r="C217" s="48" t="s">
        <v>368</v>
      </c>
      <c r="D217" s="18" t="s">
        <v>354</v>
      </c>
      <c r="E217" s="20">
        <f t="shared" si="34"/>
        <v>3</v>
      </c>
      <c r="F217" s="20">
        <f t="shared" si="35"/>
        <v>2.6</v>
      </c>
      <c r="G217" s="20"/>
      <c r="H217" s="20"/>
      <c r="I217" s="20"/>
      <c r="J217" s="20"/>
      <c r="K217" s="20">
        <v>3</v>
      </c>
      <c r="L217" s="22">
        <f t="shared" si="32"/>
        <v>0</v>
      </c>
      <c r="M217" s="22"/>
      <c r="N217" s="22"/>
      <c r="P217" s="23">
        <f t="shared" si="33"/>
        <v>0</v>
      </c>
      <c r="Q217" s="23"/>
      <c r="X217" s="36">
        <f>2.7-0.1</f>
        <v>2.6</v>
      </c>
    </row>
    <row r="218" spans="1:26" ht="26.25" customHeight="1" x14ac:dyDescent="0.2">
      <c r="A218" s="277" t="s">
        <v>369</v>
      </c>
      <c r="B218" s="262"/>
      <c r="C218" s="48" t="s">
        <v>370</v>
      </c>
      <c r="D218" s="275" t="s">
        <v>360</v>
      </c>
      <c r="E218" s="20">
        <f t="shared" si="34"/>
        <v>171.29999999999998</v>
      </c>
      <c r="F218" s="20">
        <f t="shared" si="35"/>
        <v>136.4</v>
      </c>
      <c r="G218" s="20"/>
      <c r="H218" s="20"/>
      <c r="I218" s="20"/>
      <c r="J218" s="20"/>
      <c r="K218" s="20">
        <f>142.1+29.2</f>
        <v>171.29999999999998</v>
      </c>
      <c r="L218" s="22">
        <f t="shared" si="32"/>
        <v>0</v>
      </c>
      <c r="M218" s="22"/>
      <c r="N218" s="22"/>
      <c r="P218" s="23">
        <f t="shared" si="33"/>
        <v>29.2</v>
      </c>
      <c r="Q218" s="23"/>
      <c r="W218" s="3">
        <v>29.2</v>
      </c>
      <c r="X218" s="24">
        <v>136.4</v>
      </c>
      <c r="Z218" s="221"/>
    </row>
    <row r="219" spans="1:26" x14ac:dyDescent="0.2">
      <c r="A219" s="278"/>
      <c r="B219" s="263"/>
      <c r="C219" s="59" t="s">
        <v>371</v>
      </c>
      <c r="D219" s="276"/>
      <c r="E219" s="20">
        <f t="shared" si="34"/>
        <v>99.5</v>
      </c>
      <c r="F219" s="20">
        <f t="shared" si="35"/>
        <v>95.5</v>
      </c>
      <c r="G219" s="20"/>
      <c r="H219" s="20"/>
      <c r="I219" s="20"/>
      <c r="J219" s="20"/>
      <c r="K219" s="20">
        <v>99.5</v>
      </c>
      <c r="L219" s="22">
        <f t="shared" si="32"/>
        <v>0</v>
      </c>
      <c r="M219" s="22"/>
      <c r="N219" s="22"/>
      <c r="P219" s="23">
        <f t="shared" si="33"/>
        <v>0</v>
      </c>
      <c r="Q219" s="23"/>
      <c r="X219" s="36">
        <v>95.5</v>
      </c>
      <c r="Z219" s="221"/>
    </row>
    <row r="220" spans="1:26" ht="25.9" customHeight="1" x14ac:dyDescent="0.2">
      <c r="A220" s="41" t="s">
        <v>372</v>
      </c>
      <c r="B220" s="16"/>
      <c r="C220" s="48" t="s">
        <v>373</v>
      </c>
      <c r="D220" s="83" t="s">
        <v>357</v>
      </c>
      <c r="E220" s="20">
        <f t="shared" si="34"/>
        <v>6.2</v>
      </c>
      <c r="F220" s="57">
        <f t="shared" si="35"/>
        <v>0</v>
      </c>
      <c r="G220" s="20"/>
      <c r="H220" s="20"/>
      <c r="I220" s="20"/>
      <c r="J220" s="20"/>
      <c r="K220" s="20">
        <f>5+1.2</f>
        <v>6.2</v>
      </c>
      <c r="L220" s="22">
        <f t="shared" si="32"/>
        <v>0</v>
      </c>
      <c r="M220" s="22"/>
      <c r="N220" s="22"/>
      <c r="P220" s="23">
        <f t="shared" si="33"/>
        <v>0</v>
      </c>
      <c r="Q220" s="23"/>
      <c r="X220" s="17">
        <v>0</v>
      </c>
      <c r="Z220" s="221"/>
    </row>
    <row r="221" spans="1:26" ht="25.5" x14ac:dyDescent="0.2">
      <c r="A221" s="41" t="s">
        <v>374</v>
      </c>
      <c r="B221" s="16"/>
      <c r="C221" s="48" t="s">
        <v>375</v>
      </c>
      <c r="D221" s="84" t="s">
        <v>354</v>
      </c>
      <c r="E221" s="20">
        <f t="shared" si="34"/>
        <v>30</v>
      </c>
      <c r="F221" s="20">
        <f t="shared" si="35"/>
        <v>29.4</v>
      </c>
      <c r="G221" s="20"/>
      <c r="H221" s="20"/>
      <c r="I221" s="20"/>
      <c r="J221" s="20"/>
      <c r="K221" s="20">
        <v>30</v>
      </c>
      <c r="L221" s="22">
        <f t="shared" si="32"/>
        <v>0</v>
      </c>
      <c r="M221" s="22"/>
      <c r="N221" s="22"/>
      <c r="P221" s="23">
        <f t="shared" si="33"/>
        <v>0</v>
      </c>
      <c r="Q221" s="23"/>
      <c r="X221" s="24">
        <v>29.4</v>
      </c>
    </row>
    <row r="222" spans="1:26" ht="25.5" x14ac:dyDescent="0.2">
      <c r="A222" s="41" t="s">
        <v>376</v>
      </c>
      <c r="B222" s="16"/>
      <c r="C222" s="48" t="s">
        <v>377</v>
      </c>
      <c r="D222" s="18" t="s">
        <v>303</v>
      </c>
      <c r="E222" s="20">
        <f t="shared" si="34"/>
        <v>50</v>
      </c>
      <c r="F222" s="20">
        <f t="shared" si="35"/>
        <v>50</v>
      </c>
      <c r="G222" s="20"/>
      <c r="H222" s="20"/>
      <c r="I222" s="20"/>
      <c r="J222" s="20"/>
      <c r="K222" s="20">
        <v>50</v>
      </c>
      <c r="L222" s="22">
        <f t="shared" si="32"/>
        <v>0</v>
      </c>
      <c r="M222" s="22"/>
      <c r="N222" s="22"/>
      <c r="P222" s="23">
        <f t="shared" si="33"/>
        <v>0</v>
      </c>
      <c r="Q222" s="23"/>
      <c r="X222" s="17">
        <v>50</v>
      </c>
    </row>
    <row r="223" spans="1:26" ht="26.45" customHeight="1" x14ac:dyDescent="0.2">
      <c r="A223" s="41" t="s">
        <v>378</v>
      </c>
      <c r="B223" s="16"/>
      <c r="C223" s="48" t="s">
        <v>379</v>
      </c>
      <c r="D223" s="18" t="s">
        <v>303</v>
      </c>
      <c r="E223" s="20">
        <f t="shared" si="34"/>
        <v>50</v>
      </c>
      <c r="F223" s="20">
        <f t="shared" si="35"/>
        <v>50</v>
      </c>
      <c r="G223" s="20">
        <f>25-25</f>
        <v>0</v>
      </c>
      <c r="H223" s="20"/>
      <c r="I223" s="20"/>
      <c r="J223" s="20"/>
      <c r="K223" s="20">
        <f>25+25</f>
        <v>50</v>
      </c>
      <c r="L223" s="22">
        <f t="shared" si="32"/>
        <v>0</v>
      </c>
      <c r="M223" s="22"/>
      <c r="N223" s="22"/>
      <c r="P223" s="23">
        <f t="shared" si="33"/>
        <v>0</v>
      </c>
      <c r="Q223" s="23"/>
      <c r="X223" s="17">
        <v>50</v>
      </c>
    </row>
    <row r="224" spans="1:26" ht="38.25" x14ac:dyDescent="0.2">
      <c r="A224" s="41" t="s">
        <v>380</v>
      </c>
      <c r="B224" s="26"/>
      <c r="C224" s="27" t="s">
        <v>381</v>
      </c>
      <c r="D224" s="38" t="s">
        <v>303</v>
      </c>
      <c r="E224" s="20">
        <f t="shared" si="34"/>
        <v>56.6</v>
      </c>
      <c r="F224" s="20">
        <f t="shared" si="35"/>
        <v>46.8</v>
      </c>
      <c r="G224" s="20">
        <v>0.1</v>
      </c>
      <c r="H224" s="57">
        <v>0</v>
      </c>
      <c r="I224" s="20"/>
      <c r="J224" s="20"/>
      <c r="K224" s="20">
        <v>56.5</v>
      </c>
      <c r="L224" s="22">
        <f t="shared" si="32"/>
        <v>0</v>
      </c>
      <c r="M224" s="22"/>
      <c r="N224" s="22"/>
      <c r="P224" s="23">
        <f t="shared" si="33"/>
        <v>0</v>
      </c>
      <c r="Q224" s="23"/>
      <c r="X224" s="24">
        <v>46.8</v>
      </c>
    </row>
    <row r="225" spans="1:26" ht="38.25" x14ac:dyDescent="0.2">
      <c r="A225" s="41" t="s">
        <v>382</v>
      </c>
      <c r="B225" s="26"/>
      <c r="C225" s="27" t="s">
        <v>383</v>
      </c>
      <c r="D225" s="38" t="s">
        <v>318</v>
      </c>
      <c r="E225" s="20">
        <f t="shared" si="34"/>
        <v>66</v>
      </c>
      <c r="F225" s="20">
        <f t="shared" si="35"/>
        <v>65</v>
      </c>
      <c r="G225" s="20">
        <v>1</v>
      </c>
      <c r="H225" s="57">
        <v>0</v>
      </c>
      <c r="I225" s="20"/>
      <c r="J225" s="20"/>
      <c r="K225" s="20">
        <v>65</v>
      </c>
      <c r="L225" s="22">
        <f t="shared" si="32"/>
        <v>0</v>
      </c>
      <c r="M225" s="22"/>
      <c r="N225" s="22"/>
      <c r="P225" s="23">
        <f t="shared" si="33"/>
        <v>0</v>
      </c>
      <c r="Q225" s="23"/>
      <c r="X225" s="85">
        <v>65</v>
      </c>
    </row>
    <row r="226" spans="1:26" ht="42" customHeight="1" x14ac:dyDescent="0.2">
      <c r="A226" s="41" t="s">
        <v>384</v>
      </c>
      <c r="B226" s="16"/>
      <c r="C226" s="27" t="s">
        <v>385</v>
      </c>
      <c r="D226" s="18" t="s">
        <v>386</v>
      </c>
      <c r="E226" s="20">
        <f t="shared" si="34"/>
        <v>356</v>
      </c>
      <c r="F226" s="20">
        <f t="shared" si="35"/>
        <v>282.39999999999998</v>
      </c>
      <c r="G226" s="20"/>
      <c r="H226" s="20"/>
      <c r="I226" s="20"/>
      <c r="J226" s="20"/>
      <c r="K226" s="20">
        <f>145+175+36</f>
        <v>356</v>
      </c>
      <c r="L226" s="22">
        <f t="shared" si="32"/>
        <v>0</v>
      </c>
      <c r="M226" s="22"/>
      <c r="N226" s="22"/>
      <c r="O226" s="22"/>
      <c r="P226" s="23">
        <f t="shared" si="33"/>
        <v>0</v>
      </c>
      <c r="Q226" s="23"/>
      <c r="X226" s="24">
        <v>282.39999999999998</v>
      </c>
    </row>
    <row r="227" spans="1:26" x14ac:dyDescent="0.2">
      <c r="A227" s="41" t="s">
        <v>387</v>
      </c>
      <c r="B227" s="16"/>
      <c r="C227" s="49" t="s">
        <v>388</v>
      </c>
      <c r="D227" s="18" t="s">
        <v>318</v>
      </c>
      <c r="E227" s="63">
        <f t="shared" si="34"/>
        <v>15</v>
      </c>
      <c r="F227" s="20">
        <f t="shared" si="35"/>
        <v>10.5</v>
      </c>
      <c r="G227" s="63"/>
      <c r="H227" s="63"/>
      <c r="I227" s="63"/>
      <c r="J227" s="63"/>
      <c r="K227" s="63">
        <v>15</v>
      </c>
      <c r="L227" s="22">
        <f t="shared" si="32"/>
        <v>0</v>
      </c>
      <c r="M227" s="22"/>
      <c r="N227" s="22"/>
      <c r="P227" s="23">
        <f t="shared" si="33"/>
        <v>0</v>
      </c>
      <c r="Q227" s="23"/>
      <c r="X227" s="36">
        <f>10.6-0.1</f>
        <v>10.5</v>
      </c>
    </row>
    <row r="228" spans="1:26" x14ac:dyDescent="0.2">
      <c r="A228" s="41" t="s">
        <v>389</v>
      </c>
      <c r="B228" s="16"/>
      <c r="C228" s="49" t="s">
        <v>390</v>
      </c>
      <c r="D228" s="18" t="s">
        <v>318</v>
      </c>
      <c r="E228" s="63">
        <f t="shared" si="34"/>
        <v>6.9</v>
      </c>
      <c r="F228" s="20">
        <f t="shared" si="35"/>
        <v>6.9</v>
      </c>
      <c r="G228" s="63"/>
      <c r="H228" s="63"/>
      <c r="I228" s="63"/>
      <c r="J228" s="63"/>
      <c r="K228" s="63">
        <f>5+1.9</f>
        <v>6.9</v>
      </c>
      <c r="L228" s="22">
        <f t="shared" si="32"/>
        <v>1.9</v>
      </c>
      <c r="M228" s="22"/>
      <c r="N228" s="22"/>
      <c r="O228" s="3">
        <v>1.9</v>
      </c>
      <c r="P228" s="23">
        <f t="shared" si="33"/>
        <v>0</v>
      </c>
      <c r="Q228" s="23"/>
      <c r="U228" s="47">
        <v>1.9</v>
      </c>
      <c r="X228" s="24">
        <v>6.9</v>
      </c>
    </row>
    <row r="229" spans="1:26" ht="18.75" customHeight="1" x14ac:dyDescent="0.2">
      <c r="A229" s="41" t="s">
        <v>391</v>
      </c>
      <c r="B229" s="16"/>
      <c r="C229" s="48" t="s">
        <v>392</v>
      </c>
      <c r="D229" s="18" t="s">
        <v>249</v>
      </c>
      <c r="E229" s="20">
        <f t="shared" si="34"/>
        <v>100</v>
      </c>
      <c r="F229" s="20">
        <f t="shared" si="35"/>
        <v>100</v>
      </c>
      <c r="G229" s="20">
        <v>100</v>
      </c>
      <c r="H229" s="32">
        <f>100</f>
        <v>100</v>
      </c>
      <c r="I229" s="20"/>
      <c r="J229" s="20"/>
      <c r="K229" s="20"/>
      <c r="L229" s="22">
        <f t="shared" si="32"/>
        <v>0</v>
      </c>
      <c r="M229" s="22"/>
      <c r="N229" s="22"/>
      <c r="P229" s="23">
        <f t="shared" si="33"/>
        <v>0</v>
      </c>
      <c r="Q229" s="23"/>
      <c r="S229" s="47"/>
      <c r="X229" s="24"/>
    </row>
    <row r="230" spans="1:26" x14ac:dyDescent="0.2">
      <c r="A230" s="41" t="s">
        <v>393</v>
      </c>
      <c r="B230" s="16"/>
      <c r="C230" s="48" t="s">
        <v>394</v>
      </c>
      <c r="D230" s="18" t="s">
        <v>249</v>
      </c>
      <c r="E230" s="20">
        <f t="shared" si="34"/>
        <v>80</v>
      </c>
      <c r="F230" s="20">
        <f t="shared" si="35"/>
        <v>76.2</v>
      </c>
      <c r="G230" s="20"/>
      <c r="H230" s="20"/>
      <c r="I230" s="20"/>
      <c r="J230" s="20"/>
      <c r="K230" s="20">
        <f>40+20+20</f>
        <v>80</v>
      </c>
      <c r="L230" s="22">
        <f t="shared" si="32"/>
        <v>0</v>
      </c>
      <c r="M230" s="22"/>
      <c r="N230" s="22"/>
      <c r="O230" s="22"/>
      <c r="P230" s="23">
        <f t="shared" si="33"/>
        <v>0</v>
      </c>
      <c r="Q230" s="23"/>
      <c r="X230" s="24">
        <v>76.2</v>
      </c>
    </row>
    <row r="231" spans="1:26" ht="25.5" x14ac:dyDescent="0.2">
      <c r="A231" s="41" t="s">
        <v>395</v>
      </c>
      <c r="B231" s="16"/>
      <c r="C231" s="48" t="s">
        <v>396</v>
      </c>
      <c r="D231" s="38" t="s">
        <v>318</v>
      </c>
      <c r="E231" s="20">
        <f t="shared" si="34"/>
        <v>29</v>
      </c>
      <c r="F231" s="20">
        <f t="shared" si="35"/>
        <v>28</v>
      </c>
      <c r="G231" s="20">
        <v>1</v>
      </c>
      <c r="H231" s="57">
        <v>0</v>
      </c>
      <c r="I231" s="20"/>
      <c r="J231" s="20"/>
      <c r="K231" s="20">
        <f>9+19</f>
        <v>28</v>
      </c>
      <c r="L231" s="22">
        <f t="shared" si="32"/>
        <v>19</v>
      </c>
      <c r="M231" s="22"/>
      <c r="N231" s="22"/>
      <c r="O231" s="3">
        <v>19</v>
      </c>
      <c r="P231" s="23">
        <f t="shared" si="33"/>
        <v>0</v>
      </c>
      <c r="Q231" s="23"/>
      <c r="X231" s="17">
        <v>28</v>
      </c>
    </row>
    <row r="232" spans="1:26" x14ac:dyDescent="0.2">
      <c r="A232" s="41" t="s">
        <v>397</v>
      </c>
      <c r="B232" s="16"/>
      <c r="C232" s="48" t="s">
        <v>398</v>
      </c>
      <c r="D232" s="18" t="s">
        <v>399</v>
      </c>
      <c r="E232" s="20">
        <f t="shared" si="34"/>
        <v>50</v>
      </c>
      <c r="F232" s="20">
        <f t="shared" si="35"/>
        <v>50</v>
      </c>
      <c r="G232" s="20">
        <f>50-50</f>
        <v>0</v>
      </c>
      <c r="H232" s="20"/>
      <c r="I232" s="20"/>
      <c r="J232" s="20"/>
      <c r="K232" s="20">
        <v>50</v>
      </c>
      <c r="L232" s="22">
        <f t="shared" si="32"/>
        <v>0</v>
      </c>
      <c r="M232" s="22"/>
      <c r="N232" s="22"/>
      <c r="P232" s="23">
        <f t="shared" si="33"/>
        <v>0</v>
      </c>
      <c r="Q232" s="23"/>
      <c r="X232" s="17">
        <v>50</v>
      </c>
    </row>
    <row r="233" spans="1:26" x14ac:dyDescent="0.2">
      <c r="A233" s="41" t="s">
        <v>400</v>
      </c>
      <c r="B233" s="16"/>
      <c r="C233" s="48" t="s">
        <v>401</v>
      </c>
      <c r="D233" s="18" t="s">
        <v>249</v>
      </c>
      <c r="E233" s="20">
        <f t="shared" si="34"/>
        <v>30</v>
      </c>
      <c r="F233" s="20">
        <f t="shared" si="35"/>
        <v>29.4</v>
      </c>
      <c r="G233" s="20">
        <v>30</v>
      </c>
      <c r="H233" s="20">
        <v>29.4</v>
      </c>
      <c r="I233" s="20"/>
      <c r="J233" s="20"/>
      <c r="K233" s="20"/>
      <c r="L233" s="22">
        <f t="shared" si="32"/>
        <v>0</v>
      </c>
      <c r="M233" s="22"/>
      <c r="N233" s="22"/>
      <c r="P233" s="23">
        <f t="shared" si="33"/>
        <v>0</v>
      </c>
      <c r="Q233" s="23"/>
      <c r="X233" s="24"/>
    </row>
    <row r="234" spans="1:26" ht="17.100000000000001" customHeight="1" x14ac:dyDescent="0.2">
      <c r="A234" s="41" t="s">
        <v>402</v>
      </c>
      <c r="B234" s="16"/>
      <c r="C234" s="48" t="s">
        <v>403</v>
      </c>
      <c r="D234" s="18" t="s">
        <v>318</v>
      </c>
      <c r="E234" s="20">
        <f t="shared" si="34"/>
        <v>30</v>
      </c>
      <c r="F234" s="20">
        <f t="shared" si="35"/>
        <v>30</v>
      </c>
      <c r="G234" s="20">
        <f>20+10</f>
        <v>30</v>
      </c>
      <c r="H234" s="20">
        <v>30</v>
      </c>
      <c r="I234" s="20"/>
      <c r="J234" s="20"/>
      <c r="K234" s="20"/>
      <c r="L234" s="22">
        <f t="shared" si="32"/>
        <v>0</v>
      </c>
      <c r="M234" s="22"/>
      <c r="N234" s="22"/>
      <c r="P234" s="23">
        <f t="shared" si="33"/>
        <v>0</v>
      </c>
      <c r="Q234" s="23"/>
      <c r="X234" s="24"/>
    </row>
    <row r="235" spans="1:26" ht="29.45" customHeight="1" x14ac:dyDescent="0.2">
      <c r="A235" s="41" t="s">
        <v>404</v>
      </c>
      <c r="B235" s="26"/>
      <c r="C235" s="27" t="s">
        <v>405</v>
      </c>
      <c r="D235" s="38" t="s">
        <v>406</v>
      </c>
      <c r="E235" s="20">
        <f t="shared" si="34"/>
        <v>64.999999999999986</v>
      </c>
      <c r="F235" s="20">
        <f t="shared" si="35"/>
        <v>52.7</v>
      </c>
      <c r="G235" s="20">
        <f>1.8+3+0.5+0.6</f>
        <v>5.8999999999999995</v>
      </c>
      <c r="H235" s="20">
        <v>5.6</v>
      </c>
      <c r="I235" s="20"/>
      <c r="J235" s="20"/>
      <c r="K235" s="20">
        <f>298.2-3-0.5-175-60-0.6</f>
        <v>59.099999999999987</v>
      </c>
      <c r="L235" s="22">
        <f t="shared" si="32"/>
        <v>-60</v>
      </c>
      <c r="M235" s="22">
        <v>0.6</v>
      </c>
      <c r="N235" s="22"/>
      <c r="O235" s="3">
        <f>-60-0.6</f>
        <v>-60.6</v>
      </c>
      <c r="P235" s="23">
        <f t="shared" si="33"/>
        <v>0</v>
      </c>
      <c r="Q235" s="23"/>
      <c r="X235" s="24">
        <v>47.1</v>
      </c>
    </row>
    <row r="236" spans="1:26" ht="31.15" customHeight="1" x14ac:dyDescent="0.2">
      <c r="A236" s="41" t="s">
        <v>407</v>
      </c>
      <c r="B236" s="26"/>
      <c r="C236" s="27" t="s">
        <v>408</v>
      </c>
      <c r="D236" s="38" t="s">
        <v>406</v>
      </c>
      <c r="E236" s="20">
        <f t="shared" si="34"/>
        <v>420</v>
      </c>
      <c r="F236" s="20">
        <f t="shared" si="35"/>
        <v>264.89999999999998</v>
      </c>
      <c r="G236" s="20">
        <v>1</v>
      </c>
      <c r="H236" s="57">
        <v>0</v>
      </c>
      <c r="I236" s="20"/>
      <c r="J236" s="20"/>
      <c r="K236" s="20">
        <f>199-17+237</f>
        <v>419</v>
      </c>
      <c r="L236" s="22">
        <f t="shared" si="32"/>
        <v>237</v>
      </c>
      <c r="M236" s="22"/>
      <c r="N236" s="22"/>
      <c r="O236" s="22">
        <v>237</v>
      </c>
      <c r="P236" s="23">
        <f t="shared" si="33"/>
        <v>0</v>
      </c>
      <c r="Q236" s="23"/>
      <c r="X236" s="24">
        <v>264.89999999999998</v>
      </c>
      <c r="Z236" s="37"/>
    </row>
    <row r="237" spans="1:26" x14ac:dyDescent="0.2">
      <c r="A237" s="41" t="s">
        <v>409</v>
      </c>
      <c r="B237" s="26"/>
      <c r="C237" s="27" t="s">
        <v>410</v>
      </c>
      <c r="D237" s="38" t="s">
        <v>406</v>
      </c>
      <c r="E237" s="20">
        <f t="shared" si="34"/>
        <v>300</v>
      </c>
      <c r="F237" s="20">
        <f t="shared" si="35"/>
        <v>300</v>
      </c>
      <c r="G237" s="20">
        <v>300</v>
      </c>
      <c r="H237" s="20">
        <v>300</v>
      </c>
      <c r="I237" s="20"/>
      <c r="J237" s="20"/>
      <c r="K237" s="20"/>
      <c r="L237" s="22">
        <f t="shared" si="32"/>
        <v>0</v>
      </c>
      <c r="M237" s="22"/>
      <c r="N237" s="22"/>
      <c r="P237" s="23">
        <f t="shared" si="33"/>
        <v>0</v>
      </c>
      <c r="Q237" s="23"/>
      <c r="X237" s="24"/>
    </row>
    <row r="238" spans="1:26" ht="25.5" x14ac:dyDescent="0.2">
      <c r="A238" s="41" t="s">
        <v>411</v>
      </c>
      <c r="B238" s="26"/>
      <c r="C238" s="27" t="s">
        <v>412</v>
      </c>
      <c r="D238" s="38" t="s">
        <v>406</v>
      </c>
      <c r="E238" s="20">
        <f t="shared" si="34"/>
        <v>230</v>
      </c>
      <c r="F238" s="20">
        <f t="shared" si="35"/>
        <v>224.20000000000002</v>
      </c>
      <c r="G238" s="20">
        <f>0.5+1</f>
        <v>1.5</v>
      </c>
      <c r="H238" s="20">
        <v>1.3</v>
      </c>
      <c r="I238" s="20"/>
      <c r="J238" s="20"/>
      <c r="K238" s="20">
        <f>99.5+130-1</f>
        <v>228.5</v>
      </c>
      <c r="L238" s="22">
        <f t="shared" si="32"/>
        <v>130</v>
      </c>
      <c r="M238" s="22">
        <v>1</v>
      </c>
      <c r="N238" s="22"/>
      <c r="O238" s="3">
        <f>130-1</f>
        <v>129</v>
      </c>
      <c r="P238" s="23">
        <f t="shared" si="33"/>
        <v>0</v>
      </c>
      <c r="Q238" s="23"/>
      <c r="X238" s="24">
        <v>222.9</v>
      </c>
    </row>
    <row r="239" spans="1:26" ht="25.5" x14ac:dyDescent="0.2">
      <c r="A239" s="41" t="s">
        <v>413</v>
      </c>
      <c r="B239" s="26"/>
      <c r="C239" s="27" t="s">
        <v>414</v>
      </c>
      <c r="D239" s="38" t="s">
        <v>406</v>
      </c>
      <c r="E239" s="20">
        <f t="shared" si="34"/>
        <v>62.3</v>
      </c>
      <c r="F239" s="20">
        <f t="shared" si="35"/>
        <v>61</v>
      </c>
      <c r="G239" s="20">
        <v>1.3</v>
      </c>
      <c r="H239" s="57">
        <v>0</v>
      </c>
      <c r="I239" s="20"/>
      <c r="J239" s="20"/>
      <c r="K239" s="20">
        <f>127.7-66.7</f>
        <v>61</v>
      </c>
      <c r="L239" s="22">
        <f t="shared" si="32"/>
        <v>0</v>
      </c>
      <c r="M239" s="22"/>
      <c r="N239" s="22"/>
      <c r="P239" s="23">
        <f t="shared" si="33"/>
        <v>0</v>
      </c>
      <c r="Q239" s="23"/>
      <c r="X239" s="17">
        <v>61</v>
      </c>
    </row>
    <row r="240" spans="1:26" ht="41.25" customHeight="1" x14ac:dyDescent="0.2">
      <c r="A240" s="41" t="s">
        <v>415</v>
      </c>
      <c r="B240" s="16"/>
      <c r="C240" s="48" t="s">
        <v>416</v>
      </c>
      <c r="D240" s="18" t="s">
        <v>184</v>
      </c>
      <c r="E240" s="20">
        <f t="shared" si="34"/>
        <v>3</v>
      </c>
      <c r="F240" s="57">
        <f t="shared" si="35"/>
        <v>0</v>
      </c>
      <c r="G240" s="20">
        <v>1</v>
      </c>
      <c r="H240" s="57">
        <v>0</v>
      </c>
      <c r="I240" s="20"/>
      <c r="J240" s="20"/>
      <c r="K240" s="20">
        <v>2</v>
      </c>
      <c r="L240" s="22">
        <f t="shared" si="32"/>
        <v>0</v>
      </c>
      <c r="M240" s="22"/>
      <c r="N240" s="22"/>
      <c r="P240" s="23">
        <f t="shared" si="33"/>
        <v>0</v>
      </c>
      <c r="Q240" s="23"/>
      <c r="R240" s="47"/>
      <c r="X240" s="17">
        <v>0</v>
      </c>
    </row>
    <row r="241" spans="1:25" ht="29.45" customHeight="1" x14ac:dyDescent="0.2">
      <c r="A241" s="41" t="s">
        <v>417</v>
      </c>
      <c r="B241" s="16"/>
      <c r="C241" s="27" t="s">
        <v>418</v>
      </c>
      <c r="D241" s="18" t="s">
        <v>249</v>
      </c>
      <c r="E241" s="20">
        <f t="shared" si="34"/>
        <v>200</v>
      </c>
      <c r="F241" s="20">
        <f t="shared" si="35"/>
        <v>148.5</v>
      </c>
      <c r="G241" s="20">
        <v>1</v>
      </c>
      <c r="H241" s="57">
        <v>0</v>
      </c>
      <c r="I241" s="20"/>
      <c r="J241" s="20"/>
      <c r="K241" s="20">
        <v>199</v>
      </c>
      <c r="L241" s="22">
        <f t="shared" si="32"/>
        <v>0</v>
      </c>
      <c r="M241" s="22"/>
      <c r="N241" s="22"/>
      <c r="P241" s="23">
        <f t="shared" si="33"/>
        <v>0</v>
      </c>
      <c r="Q241" s="23"/>
      <c r="X241" s="24">
        <v>148.5</v>
      </c>
    </row>
    <row r="242" spans="1:25" ht="28.5" customHeight="1" x14ac:dyDescent="0.2">
      <c r="A242" s="41" t="s">
        <v>419</v>
      </c>
      <c r="B242" s="16"/>
      <c r="C242" s="55" t="s">
        <v>132</v>
      </c>
      <c r="D242" s="86" t="s">
        <v>420</v>
      </c>
      <c r="E242" s="20">
        <f t="shared" si="34"/>
        <v>20</v>
      </c>
      <c r="F242" s="20">
        <f t="shared" si="35"/>
        <v>20</v>
      </c>
      <c r="G242" s="20"/>
      <c r="H242" s="20"/>
      <c r="I242" s="20"/>
      <c r="J242" s="20"/>
      <c r="K242" s="20">
        <v>20</v>
      </c>
      <c r="L242" s="22">
        <f t="shared" si="32"/>
        <v>0</v>
      </c>
      <c r="M242" s="22"/>
      <c r="N242" s="22"/>
      <c r="P242" s="23">
        <f t="shared" si="33"/>
        <v>0</v>
      </c>
      <c r="Q242" s="23"/>
      <c r="X242" s="17">
        <v>20</v>
      </c>
    </row>
    <row r="243" spans="1:25" ht="38.450000000000003" customHeight="1" x14ac:dyDescent="0.2">
      <c r="A243" s="13">
        <v>83</v>
      </c>
      <c r="B243" s="11"/>
      <c r="C243" s="27" t="s">
        <v>190</v>
      </c>
      <c r="D243" s="18" t="s">
        <v>386</v>
      </c>
      <c r="E243" s="20">
        <f t="shared" si="34"/>
        <v>165</v>
      </c>
      <c r="F243" s="20">
        <f t="shared" si="35"/>
        <v>164.9</v>
      </c>
      <c r="G243" s="20">
        <v>165</v>
      </c>
      <c r="H243" s="20">
        <v>164.9</v>
      </c>
      <c r="I243" s="20"/>
      <c r="J243" s="20"/>
      <c r="K243" s="20"/>
      <c r="L243" s="22">
        <f t="shared" si="32"/>
        <v>0</v>
      </c>
      <c r="M243" s="22"/>
      <c r="N243" s="22"/>
      <c r="P243" s="23">
        <f t="shared" si="33"/>
        <v>0</v>
      </c>
      <c r="Q243" s="23"/>
      <c r="X243" s="24"/>
    </row>
    <row r="244" spans="1:25" ht="27" customHeight="1" x14ac:dyDescent="0.2">
      <c r="A244" s="13">
        <v>84</v>
      </c>
      <c r="B244" s="11"/>
      <c r="C244" s="27" t="s">
        <v>192</v>
      </c>
      <c r="D244" s="18" t="s">
        <v>303</v>
      </c>
      <c r="E244" s="20">
        <f t="shared" si="34"/>
        <v>30</v>
      </c>
      <c r="F244" s="20">
        <f t="shared" si="35"/>
        <v>30</v>
      </c>
      <c r="G244" s="20">
        <v>30</v>
      </c>
      <c r="H244" s="20">
        <v>30</v>
      </c>
      <c r="I244" s="20"/>
      <c r="J244" s="20"/>
      <c r="K244" s="20"/>
      <c r="L244" s="22">
        <f t="shared" si="32"/>
        <v>0</v>
      </c>
      <c r="M244" s="22"/>
      <c r="N244" s="22"/>
      <c r="P244" s="23">
        <f t="shared" si="33"/>
        <v>0</v>
      </c>
      <c r="Q244" s="23"/>
      <c r="X244" s="24"/>
    </row>
    <row r="245" spans="1:25" ht="27" customHeight="1" x14ac:dyDescent="0.2">
      <c r="A245" s="13">
        <v>85</v>
      </c>
      <c r="B245" s="11"/>
      <c r="C245" s="27" t="s">
        <v>194</v>
      </c>
      <c r="D245" s="18" t="s">
        <v>303</v>
      </c>
      <c r="E245" s="20">
        <f t="shared" si="34"/>
        <v>8.8000000000000007</v>
      </c>
      <c r="F245" s="20">
        <f t="shared" si="35"/>
        <v>8.8000000000000007</v>
      </c>
      <c r="G245" s="20">
        <f>10-1.2</f>
        <v>8.8000000000000007</v>
      </c>
      <c r="H245" s="20">
        <v>8.8000000000000007</v>
      </c>
      <c r="I245" s="20"/>
      <c r="J245" s="20"/>
      <c r="K245" s="20"/>
      <c r="L245" s="22">
        <f t="shared" si="32"/>
        <v>-1.2</v>
      </c>
      <c r="M245" s="22">
        <v>-1.2</v>
      </c>
      <c r="N245" s="22"/>
      <c r="P245" s="23">
        <f t="shared" si="33"/>
        <v>0</v>
      </c>
      <c r="Q245" s="23"/>
      <c r="X245" s="24"/>
    </row>
    <row r="246" spans="1:25" ht="27" customHeight="1" x14ac:dyDescent="0.2">
      <c r="A246" s="13">
        <v>86</v>
      </c>
      <c r="B246" s="11"/>
      <c r="C246" s="40" t="s">
        <v>195</v>
      </c>
      <c r="D246" s="18" t="s">
        <v>303</v>
      </c>
      <c r="E246" s="20">
        <f t="shared" si="34"/>
        <v>15</v>
      </c>
      <c r="F246" s="20">
        <f t="shared" si="35"/>
        <v>15</v>
      </c>
      <c r="G246" s="20">
        <v>15</v>
      </c>
      <c r="H246" s="20">
        <v>15</v>
      </c>
      <c r="I246" s="20"/>
      <c r="J246" s="20"/>
      <c r="K246" s="20"/>
      <c r="L246" s="22">
        <f t="shared" si="32"/>
        <v>0</v>
      </c>
      <c r="M246" s="22"/>
      <c r="N246" s="22"/>
      <c r="P246" s="23">
        <f t="shared" si="33"/>
        <v>0</v>
      </c>
      <c r="Q246" s="23"/>
      <c r="X246" s="24"/>
    </row>
    <row r="247" spans="1:25" ht="27" customHeight="1" x14ac:dyDescent="0.2">
      <c r="A247" s="13">
        <v>87</v>
      </c>
      <c r="B247" s="11"/>
      <c r="C247" s="27" t="s">
        <v>196</v>
      </c>
      <c r="D247" s="18" t="s">
        <v>303</v>
      </c>
      <c r="E247" s="20">
        <f t="shared" si="34"/>
        <v>21.5</v>
      </c>
      <c r="F247" s="20">
        <f t="shared" si="35"/>
        <v>21.5</v>
      </c>
      <c r="G247" s="20">
        <f>11.5+10</f>
        <v>21.5</v>
      </c>
      <c r="H247" s="20">
        <v>21.5</v>
      </c>
      <c r="I247" s="20"/>
      <c r="J247" s="20"/>
      <c r="K247" s="20"/>
      <c r="L247" s="22">
        <f t="shared" si="32"/>
        <v>10</v>
      </c>
      <c r="M247" s="22">
        <v>10</v>
      </c>
      <c r="N247" s="22"/>
      <c r="P247" s="23">
        <f t="shared" si="33"/>
        <v>0</v>
      </c>
      <c r="Q247" s="23"/>
      <c r="X247" s="24"/>
    </row>
    <row r="248" spans="1:25" ht="27" customHeight="1" x14ac:dyDescent="0.2">
      <c r="A248" s="13">
        <v>88</v>
      </c>
      <c r="B248" s="11"/>
      <c r="C248" s="27" t="s">
        <v>197</v>
      </c>
      <c r="D248" s="18" t="s">
        <v>303</v>
      </c>
      <c r="E248" s="20">
        <f t="shared" si="34"/>
        <v>16</v>
      </c>
      <c r="F248" s="20">
        <f t="shared" si="35"/>
        <v>16</v>
      </c>
      <c r="G248" s="20">
        <f>15+1</f>
        <v>16</v>
      </c>
      <c r="H248" s="20">
        <v>16</v>
      </c>
      <c r="I248" s="20"/>
      <c r="J248" s="20"/>
      <c r="K248" s="20"/>
      <c r="L248" s="22">
        <f t="shared" si="32"/>
        <v>1</v>
      </c>
      <c r="M248" s="22">
        <v>1</v>
      </c>
      <c r="N248" s="22"/>
      <c r="P248" s="23">
        <f t="shared" si="33"/>
        <v>0</v>
      </c>
      <c r="Q248" s="23"/>
      <c r="X248" s="24"/>
    </row>
    <row r="249" spans="1:25" ht="27" customHeight="1" x14ac:dyDescent="0.2">
      <c r="A249" s="13">
        <v>89</v>
      </c>
      <c r="B249" s="11"/>
      <c r="C249" s="40" t="s">
        <v>198</v>
      </c>
      <c r="D249" s="18" t="s">
        <v>303</v>
      </c>
      <c r="E249" s="20">
        <f t="shared" si="34"/>
        <v>9.9</v>
      </c>
      <c r="F249" s="20">
        <f t="shared" si="35"/>
        <v>9.9</v>
      </c>
      <c r="G249" s="20">
        <v>9.9</v>
      </c>
      <c r="H249" s="20">
        <v>9.9</v>
      </c>
      <c r="I249" s="20"/>
      <c r="J249" s="20"/>
      <c r="K249" s="20"/>
      <c r="L249" s="22">
        <f t="shared" si="32"/>
        <v>0</v>
      </c>
      <c r="M249" s="22"/>
      <c r="N249" s="22"/>
      <c r="P249" s="23">
        <f t="shared" si="33"/>
        <v>0</v>
      </c>
      <c r="Q249" s="23"/>
      <c r="X249" s="24"/>
    </row>
    <row r="250" spans="1:25" ht="27" customHeight="1" x14ac:dyDescent="0.2">
      <c r="A250" s="13">
        <v>90</v>
      </c>
      <c r="B250" s="11"/>
      <c r="C250" s="27" t="s">
        <v>199</v>
      </c>
      <c r="D250" s="18" t="s">
        <v>303</v>
      </c>
      <c r="E250" s="20">
        <f t="shared" si="34"/>
        <v>10</v>
      </c>
      <c r="F250" s="20">
        <f t="shared" si="35"/>
        <v>10</v>
      </c>
      <c r="G250" s="20">
        <v>10</v>
      </c>
      <c r="H250" s="20">
        <v>10</v>
      </c>
      <c r="I250" s="20"/>
      <c r="J250" s="20"/>
      <c r="K250" s="20"/>
      <c r="L250" s="22">
        <f t="shared" si="32"/>
        <v>0</v>
      </c>
      <c r="M250" s="22"/>
      <c r="N250" s="22"/>
      <c r="P250" s="23">
        <f t="shared" si="33"/>
        <v>0</v>
      </c>
      <c r="Q250" s="23"/>
      <c r="X250" s="24"/>
    </row>
    <row r="251" spans="1:25" ht="27" customHeight="1" x14ac:dyDescent="0.2">
      <c r="A251" s="13">
        <v>91</v>
      </c>
      <c r="B251" s="11"/>
      <c r="C251" s="27" t="s">
        <v>225</v>
      </c>
      <c r="D251" s="18" t="s">
        <v>303</v>
      </c>
      <c r="E251" s="20">
        <f t="shared" si="34"/>
        <v>11.8</v>
      </c>
      <c r="F251" s="20">
        <f t="shared" si="35"/>
        <v>11.8</v>
      </c>
      <c r="G251" s="20">
        <v>11.8</v>
      </c>
      <c r="H251" s="20">
        <v>11.8</v>
      </c>
      <c r="I251" s="20"/>
      <c r="J251" s="20"/>
      <c r="K251" s="20"/>
      <c r="L251" s="22">
        <f t="shared" si="32"/>
        <v>0</v>
      </c>
      <c r="M251" s="22"/>
      <c r="N251" s="22"/>
      <c r="P251" s="23">
        <f t="shared" si="33"/>
        <v>0</v>
      </c>
      <c r="Q251" s="23"/>
      <c r="X251" s="24"/>
    </row>
    <row r="252" spans="1:25" ht="27" customHeight="1" x14ac:dyDescent="0.2">
      <c r="A252" s="13">
        <v>92</v>
      </c>
      <c r="B252" s="11"/>
      <c r="C252" s="27" t="s">
        <v>201</v>
      </c>
      <c r="D252" s="18" t="s">
        <v>303</v>
      </c>
      <c r="E252" s="20">
        <f t="shared" si="34"/>
        <v>11.3</v>
      </c>
      <c r="F252" s="20">
        <f t="shared" si="35"/>
        <v>11.3</v>
      </c>
      <c r="G252" s="20">
        <f>9.5+1.8</f>
        <v>11.3</v>
      </c>
      <c r="H252" s="20">
        <v>11.3</v>
      </c>
      <c r="I252" s="20"/>
      <c r="J252" s="20"/>
      <c r="K252" s="20"/>
      <c r="L252" s="22">
        <f t="shared" si="32"/>
        <v>1.8</v>
      </c>
      <c r="M252" s="22">
        <v>1.8</v>
      </c>
      <c r="N252" s="22"/>
      <c r="P252" s="23">
        <f t="shared" si="33"/>
        <v>0</v>
      </c>
      <c r="Q252" s="23"/>
      <c r="X252" s="24"/>
    </row>
    <row r="253" spans="1:25" ht="27" customHeight="1" x14ac:dyDescent="0.2">
      <c r="A253" s="13">
        <v>93</v>
      </c>
      <c r="B253" s="16"/>
      <c r="C253" s="27" t="s">
        <v>202</v>
      </c>
      <c r="D253" s="18" t="s">
        <v>303</v>
      </c>
      <c r="E253" s="20">
        <f t="shared" si="34"/>
        <v>15.8</v>
      </c>
      <c r="F253" s="20">
        <f t="shared" si="35"/>
        <v>15.8</v>
      </c>
      <c r="G253" s="20">
        <v>15.8</v>
      </c>
      <c r="H253" s="20">
        <v>15.8</v>
      </c>
      <c r="I253" s="20"/>
      <c r="J253" s="20"/>
      <c r="K253" s="20"/>
      <c r="L253" s="22">
        <f t="shared" si="32"/>
        <v>0</v>
      </c>
      <c r="M253" s="22"/>
      <c r="N253" s="22"/>
      <c r="P253" s="23">
        <f t="shared" si="33"/>
        <v>0</v>
      </c>
      <c r="Q253" s="23"/>
      <c r="X253" s="24"/>
    </row>
    <row r="254" spans="1:25" ht="20.100000000000001" customHeight="1" x14ac:dyDescent="0.2">
      <c r="A254" s="13">
        <v>94</v>
      </c>
      <c r="B254" s="11" t="s">
        <v>421</v>
      </c>
      <c r="C254" s="51" t="s">
        <v>422</v>
      </c>
      <c r="D254" s="12"/>
      <c r="E254" s="58">
        <f t="shared" si="34"/>
        <v>4243.5</v>
      </c>
      <c r="F254" s="52">
        <f t="shared" si="35"/>
        <v>3889.3</v>
      </c>
      <c r="G254" s="58">
        <f>+G268+G269+G271+G270+G267+G272+G273+G275+G274+G276+G277+G255</f>
        <v>3843.5</v>
      </c>
      <c r="H254" s="58">
        <f>+H268+H269+H271+H270+H267+H272+H273+H275+H274+H276+H277+H255</f>
        <v>3539.9</v>
      </c>
      <c r="I254" s="58">
        <f>+I268+I269+I271+I270+I267+I272+I273+I275+I274+I276+I277+I255</f>
        <v>536.5</v>
      </c>
      <c r="J254" s="58">
        <f>+J268+J269+J271+J270+J267+J272+J273+J275+J274+J276+J277+J255</f>
        <v>525.79999999999995</v>
      </c>
      <c r="K254" s="58">
        <f>+K268+K269+K271+K270+K267+K272+K273+K275+K274+K276+K277+K255</f>
        <v>400</v>
      </c>
      <c r="L254" s="58">
        <f t="shared" ref="L254:X254" si="36">+L268+L269+L271+L270+L267+L272+L273+L275+L274+L276+L277+L255</f>
        <v>103.9</v>
      </c>
      <c r="M254" s="58">
        <f t="shared" si="36"/>
        <v>152.19999999999999</v>
      </c>
      <c r="N254" s="58">
        <f t="shared" si="36"/>
        <v>-15.3</v>
      </c>
      <c r="O254" s="58">
        <f t="shared" si="36"/>
        <v>-48.3</v>
      </c>
      <c r="P254" s="58">
        <f t="shared" si="36"/>
        <v>120</v>
      </c>
      <c r="Q254" s="58">
        <f t="shared" si="36"/>
        <v>120</v>
      </c>
      <c r="R254" s="58">
        <f t="shared" si="36"/>
        <v>0</v>
      </c>
      <c r="S254" s="58">
        <f t="shared" si="36"/>
        <v>0</v>
      </c>
      <c r="T254" s="58">
        <f t="shared" si="36"/>
        <v>0</v>
      </c>
      <c r="U254" s="58">
        <f t="shared" si="36"/>
        <v>0</v>
      </c>
      <c r="V254" s="58">
        <f t="shared" si="36"/>
        <v>0</v>
      </c>
      <c r="W254" s="58">
        <f t="shared" si="36"/>
        <v>0</v>
      </c>
      <c r="X254" s="58">
        <f t="shared" si="36"/>
        <v>349.4</v>
      </c>
    </row>
    <row r="255" spans="1:25" ht="19.5" customHeight="1" x14ac:dyDescent="0.2">
      <c r="A255" s="13">
        <v>95</v>
      </c>
      <c r="B255" s="16"/>
      <c r="C255" s="40" t="s">
        <v>59</v>
      </c>
      <c r="D255" s="18"/>
      <c r="E255" s="20">
        <f t="shared" si="34"/>
        <v>2391</v>
      </c>
      <c r="F255" s="20">
        <f t="shared" si="35"/>
        <v>2071.6999999999998</v>
      </c>
      <c r="G255" s="20">
        <f>+G256+G257+G258+G264+G265+G266</f>
        <v>2177.6999999999998</v>
      </c>
      <c r="H255" s="20">
        <f>+H256+H257+H258+H264+H265+H266</f>
        <v>1888.7</v>
      </c>
      <c r="I255" s="20">
        <f>+I256+I257+I258+I264+I265+I266</f>
        <v>0</v>
      </c>
      <c r="J255" s="20"/>
      <c r="K255" s="20">
        <f>+K256+K257+K258+K264+K265+K266</f>
        <v>213.29999999999998</v>
      </c>
      <c r="L255" s="20">
        <f t="shared" ref="L255:X255" si="37">+L256+L257+L258+L264+L265+L266</f>
        <v>117.80000000000001</v>
      </c>
      <c r="M255" s="20">
        <f t="shared" si="37"/>
        <v>174.1</v>
      </c>
      <c r="N255" s="20">
        <f t="shared" si="37"/>
        <v>0</v>
      </c>
      <c r="O255" s="20">
        <f t="shared" si="37"/>
        <v>-56.3</v>
      </c>
      <c r="P255" s="20">
        <f t="shared" si="37"/>
        <v>120</v>
      </c>
      <c r="Q255" s="20">
        <f t="shared" si="37"/>
        <v>120</v>
      </c>
      <c r="R255" s="20">
        <f t="shared" si="37"/>
        <v>0</v>
      </c>
      <c r="S255" s="20">
        <f t="shared" si="37"/>
        <v>0</v>
      </c>
      <c r="T255" s="20">
        <f t="shared" si="37"/>
        <v>0</v>
      </c>
      <c r="U255" s="20">
        <f t="shared" si="37"/>
        <v>0</v>
      </c>
      <c r="V255" s="20">
        <f t="shared" si="37"/>
        <v>0</v>
      </c>
      <c r="W255" s="20">
        <f t="shared" si="37"/>
        <v>0</v>
      </c>
      <c r="X255" s="20">
        <f t="shared" si="37"/>
        <v>183</v>
      </c>
    </row>
    <row r="256" spans="1:25" ht="17.25" customHeight="1" x14ac:dyDescent="0.2">
      <c r="A256" s="41" t="s">
        <v>423</v>
      </c>
      <c r="B256" s="16"/>
      <c r="C256" s="87" t="s">
        <v>61</v>
      </c>
      <c r="D256" s="16" t="s">
        <v>424</v>
      </c>
      <c r="E256" s="20">
        <f t="shared" si="34"/>
        <v>13</v>
      </c>
      <c r="F256" s="20">
        <f t="shared" si="35"/>
        <v>13</v>
      </c>
      <c r="G256" s="20">
        <f>10+3</f>
        <v>13</v>
      </c>
      <c r="H256" s="20">
        <v>13</v>
      </c>
      <c r="I256" s="20"/>
      <c r="J256" s="20"/>
      <c r="K256" s="20"/>
      <c r="L256" s="22">
        <f t="shared" si="32"/>
        <v>0</v>
      </c>
      <c r="M256" s="22"/>
      <c r="N256" s="22"/>
      <c r="P256" s="23">
        <f t="shared" si="33"/>
        <v>0</v>
      </c>
      <c r="Q256" s="23"/>
      <c r="X256" s="24"/>
      <c r="Y256" s="232"/>
    </row>
    <row r="257" spans="1:25" ht="25.5" x14ac:dyDescent="0.2">
      <c r="A257" s="41" t="s">
        <v>425</v>
      </c>
      <c r="B257" s="16"/>
      <c r="C257" s="48" t="s">
        <v>426</v>
      </c>
      <c r="D257" s="86" t="s">
        <v>427</v>
      </c>
      <c r="E257" s="20">
        <f t="shared" si="34"/>
        <v>135.69999999999999</v>
      </c>
      <c r="F257" s="20">
        <f t="shared" si="35"/>
        <v>0</v>
      </c>
      <c r="G257" s="20">
        <v>135.69999999999999</v>
      </c>
      <c r="H257" s="57">
        <v>0</v>
      </c>
      <c r="I257" s="20"/>
      <c r="J257" s="20"/>
      <c r="K257" s="20">
        <f>135.7-135.7</f>
        <v>0</v>
      </c>
      <c r="L257" s="22">
        <f t="shared" si="32"/>
        <v>0</v>
      </c>
      <c r="M257" s="22"/>
      <c r="N257" s="22"/>
      <c r="P257" s="23">
        <f t="shared" si="33"/>
        <v>0</v>
      </c>
      <c r="Q257" s="23"/>
      <c r="X257" s="24"/>
      <c r="Y257" s="232"/>
    </row>
    <row r="258" spans="1:25" ht="43.5" customHeight="1" x14ac:dyDescent="0.2">
      <c r="A258" s="41" t="s">
        <v>428</v>
      </c>
      <c r="B258" s="16"/>
      <c r="C258" s="43" t="s">
        <v>70</v>
      </c>
      <c r="D258" s="11"/>
      <c r="E258" s="53">
        <f t="shared" si="34"/>
        <v>462.5</v>
      </c>
      <c r="F258" s="53">
        <f t="shared" si="35"/>
        <v>399.70000000000005</v>
      </c>
      <c r="G258" s="53">
        <f>+G259+G260+G261+G262+G263</f>
        <v>273.20000000000005</v>
      </c>
      <c r="H258" s="53">
        <f>+H259+H260+H261+H262+H263</f>
        <v>229.9</v>
      </c>
      <c r="I258" s="70">
        <f>+I259+I260+I261+I262+I263</f>
        <v>0</v>
      </c>
      <c r="J258" s="70">
        <f>+J259+J260+J261+J262+J263</f>
        <v>0</v>
      </c>
      <c r="K258" s="53">
        <f>+K259+K260+K261+K262+K263</f>
        <v>189.29999999999998</v>
      </c>
      <c r="L258" s="53">
        <f t="shared" ref="L258:X258" si="38">+L259+L260+L261+L262+L263</f>
        <v>-82.199999999999989</v>
      </c>
      <c r="M258" s="53">
        <f t="shared" si="38"/>
        <v>-25.9</v>
      </c>
      <c r="N258" s="53">
        <f t="shared" si="38"/>
        <v>0</v>
      </c>
      <c r="O258" s="53">
        <f t="shared" si="38"/>
        <v>-56.3</v>
      </c>
      <c r="P258" s="53">
        <f t="shared" si="38"/>
        <v>0</v>
      </c>
      <c r="Q258" s="53">
        <f t="shared" si="38"/>
        <v>0</v>
      </c>
      <c r="R258" s="53">
        <f t="shared" si="38"/>
        <v>0</v>
      </c>
      <c r="S258" s="53">
        <f t="shared" si="38"/>
        <v>0</v>
      </c>
      <c r="T258" s="53">
        <f t="shared" si="38"/>
        <v>0</v>
      </c>
      <c r="U258" s="53">
        <f t="shared" si="38"/>
        <v>0</v>
      </c>
      <c r="V258" s="53">
        <f t="shared" si="38"/>
        <v>0</v>
      </c>
      <c r="W258" s="53">
        <f t="shared" si="38"/>
        <v>0</v>
      </c>
      <c r="X258" s="53">
        <f t="shared" si="38"/>
        <v>169.8</v>
      </c>
      <c r="Y258" s="232"/>
    </row>
    <row r="259" spans="1:25" x14ac:dyDescent="0.2">
      <c r="A259" s="41" t="s">
        <v>429</v>
      </c>
      <c r="B259" s="16"/>
      <c r="C259" s="49" t="s">
        <v>430</v>
      </c>
      <c r="D259" s="16" t="s">
        <v>249</v>
      </c>
      <c r="E259" s="20">
        <f t="shared" si="34"/>
        <v>200</v>
      </c>
      <c r="F259" s="20">
        <f t="shared" si="35"/>
        <v>191.6</v>
      </c>
      <c r="G259" s="20">
        <f>100+100</f>
        <v>200</v>
      </c>
      <c r="H259" s="20">
        <v>191.6</v>
      </c>
      <c r="I259" s="53"/>
      <c r="J259" s="53"/>
      <c r="K259" s="53"/>
      <c r="L259" s="22">
        <f t="shared" si="32"/>
        <v>0</v>
      </c>
      <c r="M259" s="22"/>
      <c r="N259" s="22"/>
      <c r="P259" s="23">
        <f t="shared" si="33"/>
        <v>0</v>
      </c>
      <c r="Q259" s="23"/>
      <c r="X259" s="24"/>
    </row>
    <row r="260" spans="1:25" ht="25.5" x14ac:dyDescent="0.2">
      <c r="A260" s="41" t="s">
        <v>431</v>
      </c>
      <c r="B260" s="16"/>
      <c r="C260" s="48" t="s">
        <v>432</v>
      </c>
      <c r="D260" s="16" t="s">
        <v>249</v>
      </c>
      <c r="E260" s="20">
        <f t="shared" si="34"/>
        <v>46</v>
      </c>
      <c r="F260" s="20">
        <f t="shared" si="35"/>
        <v>12.6</v>
      </c>
      <c r="G260" s="20">
        <v>46</v>
      </c>
      <c r="H260" s="20">
        <v>12.6</v>
      </c>
      <c r="I260" s="20"/>
      <c r="J260" s="20"/>
      <c r="K260" s="20"/>
      <c r="L260" s="22">
        <f t="shared" si="32"/>
        <v>0</v>
      </c>
      <c r="M260" s="22"/>
      <c r="N260" s="22"/>
      <c r="P260" s="23">
        <f t="shared" si="33"/>
        <v>0</v>
      </c>
      <c r="Q260" s="23"/>
      <c r="X260" s="24"/>
    </row>
    <row r="261" spans="1:25" ht="27" customHeight="1" x14ac:dyDescent="0.2">
      <c r="A261" s="46" t="s">
        <v>433</v>
      </c>
      <c r="B261" s="26"/>
      <c r="C261" s="48" t="s">
        <v>434</v>
      </c>
      <c r="D261" s="88" t="s">
        <v>427</v>
      </c>
      <c r="E261" s="63">
        <f t="shared" si="34"/>
        <v>189.99999999999997</v>
      </c>
      <c r="F261" s="20">
        <f t="shared" si="35"/>
        <v>169.8</v>
      </c>
      <c r="G261" s="63">
        <v>2.1</v>
      </c>
      <c r="H261" s="63">
        <v>1.3</v>
      </c>
      <c r="I261" s="20"/>
      <c r="J261" s="20"/>
      <c r="K261" s="20">
        <f>244.2-56.3</f>
        <v>187.89999999999998</v>
      </c>
      <c r="L261" s="22">
        <f t="shared" si="32"/>
        <v>-56.3</v>
      </c>
      <c r="M261" s="22"/>
      <c r="N261" s="22"/>
      <c r="O261" s="3">
        <v>-56.3</v>
      </c>
      <c r="P261" s="23">
        <f t="shared" si="33"/>
        <v>0</v>
      </c>
      <c r="Q261" s="23"/>
      <c r="X261" s="24">
        <v>168.5</v>
      </c>
    </row>
    <row r="262" spans="1:25" ht="27" customHeight="1" x14ac:dyDescent="0.2">
      <c r="A262" s="46" t="s">
        <v>435</v>
      </c>
      <c r="B262" s="26"/>
      <c r="C262" s="48" t="s">
        <v>436</v>
      </c>
      <c r="D262" s="26" t="s">
        <v>424</v>
      </c>
      <c r="E262" s="63">
        <f t="shared" si="34"/>
        <v>24.5</v>
      </c>
      <c r="F262" s="20">
        <f t="shared" si="35"/>
        <v>24.4</v>
      </c>
      <c r="G262" s="63">
        <v>24.5</v>
      </c>
      <c r="H262" s="63">
        <v>24.4</v>
      </c>
      <c r="I262" s="20"/>
      <c r="J262" s="20"/>
      <c r="K262" s="20"/>
      <c r="L262" s="22">
        <f t="shared" si="32"/>
        <v>0</v>
      </c>
      <c r="M262" s="22"/>
      <c r="N262" s="22"/>
      <c r="P262" s="23">
        <f t="shared" si="33"/>
        <v>0</v>
      </c>
      <c r="Q262" s="23"/>
      <c r="X262" s="24"/>
    </row>
    <row r="263" spans="1:25" ht="27" customHeight="1" x14ac:dyDescent="0.2">
      <c r="A263" s="46" t="s">
        <v>437</v>
      </c>
      <c r="B263" s="26"/>
      <c r="C263" s="48" t="s">
        <v>438</v>
      </c>
      <c r="D263" s="26" t="s">
        <v>424</v>
      </c>
      <c r="E263" s="63">
        <f t="shared" si="34"/>
        <v>2</v>
      </c>
      <c r="F263" s="20">
        <f t="shared" si="35"/>
        <v>1.3</v>
      </c>
      <c r="G263" s="63">
        <f>1+25.5-25.9</f>
        <v>0.60000000000000142</v>
      </c>
      <c r="H263" s="89">
        <v>0</v>
      </c>
      <c r="I263" s="20"/>
      <c r="J263" s="20"/>
      <c r="K263" s="20">
        <f>26.9-25.5</f>
        <v>1.3999999999999986</v>
      </c>
      <c r="L263" s="22">
        <f t="shared" si="32"/>
        <v>-25.9</v>
      </c>
      <c r="M263" s="22">
        <v>-25.9</v>
      </c>
      <c r="N263" s="22"/>
      <c r="P263" s="23">
        <f t="shared" si="33"/>
        <v>0</v>
      </c>
      <c r="Q263" s="23"/>
      <c r="X263" s="24">
        <v>1.3</v>
      </c>
    </row>
    <row r="264" spans="1:25" ht="29.25" customHeight="1" x14ac:dyDescent="0.2">
      <c r="A264" s="41" t="s">
        <v>439</v>
      </c>
      <c r="B264" s="16"/>
      <c r="C264" s="55" t="s">
        <v>132</v>
      </c>
      <c r="D264" s="86" t="s">
        <v>420</v>
      </c>
      <c r="E264" s="20">
        <f t="shared" si="34"/>
        <v>259.20000000000005</v>
      </c>
      <c r="F264" s="20">
        <f t="shared" si="35"/>
        <v>172.7</v>
      </c>
      <c r="G264" s="20">
        <f>234.4+0.8</f>
        <v>235.20000000000002</v>
      </c>
      <c r="H264" s="20">
        <v>159.5</v>
      </c>
      <c r="I264" s="20"/>
      <c r="J264" s="20"/>
      <c r="K264" s="20">
        <v>24</v>
      </c>
      <c r="L264" s="22">
        <f t="shared" si="32"/>
        <v>0</v>
      </c>
      <c r="M264" s="22"/>
      <c r="N264" s="22"/>
      <c r="P264" s="23">
        <f t="shared" si="33"/>
        <v>0</v>
      </c>
      <c r="Q264" s="23"/>
      <c r="X264" s="24">
        <v>13.2</v>
      </c>
    </row>
    <row r="265" spans="1:25" ht="15" customHeight="1" x14ac:dyDescent="0.2">
      <c r="A265" s="41" t="s">
        <v>440</v>
      </c>
      <c r="B265" s="16"/>
      <c r="C265" s="55" t="s">
        <v>441</v>
      </c>
      <c r="D265" s="86" t="s">
        <v>427</v>
      </c>
      <c r="E265" s="20">
        <f t="shared" si="34"/>
        <v>1450.6</v>
      </c>
      <c r="F265" s="20">
        <f t="shared" si="35"/>
        <v>1450.6</v>
      </c>
      <c r="G265" s="20">
        <f>1030.6+100+200+120</f>
        <v>1450.6</v>
      </c>
      <c r="H265" s="20">
        <v>1450.6</v>
      </c>
      <c r="I265" s="20"/>
      <c r="J265" s="20"/>
      <c r="K265" s="20"/>
      <c r="L265" s="22">
        <f t="shared" si="32"/>
        <v>200</v>
      </c>
      <c r="M265" s="22">
        <v>200</v>
      </c>
      <c r="N265" s="22"/>
      <c r="P265" s="23">
        <f t="shared" si="33"/>
        <v>120</v>
      </c>
      <c r="Q265" s="23">
        <v>120</v>
      </c>
      <c r="X265" s="24"/>
    </row>
    <row r="266" spans="1:25" ht="15" customHeight="1" x14ac:dyDescent="0.2">
      <c r="A266" s="41" t="s">
        <v>442</v>
      </c>
      <c r="B266" s="16"/>
      <c r="C266" s="55" t="s">
        <v>443</v>
      </c>
      <c r="D266" s="86" t="s">
        <v>427</v>
      </c>
      <c r="E266" s="20">
        <f t="shared" si="34"/>
        <v>70</v>
      </c>
      <c r="F266" s="20">
        <f t="shared" si="35"/>
        <v>35.700000000000003</v>
      </c>
      <c r="G266" s="20">
        <v>70</v>
      </c>
      <c r="H266" s="20">
        <v>35.700000000000003</v>
      </c>
      <c r="I266" s="20"/>
      <c r="J266" s="20"/>
      <c r="K266" s="20"/>
      <c r="L266" s="22">
        <f t="shared" ref="L266:L320" si="39">+M266+O266</f>
        <v>0</v>
      </c>
      <c r="M266" s="22"/>
      <c r="N266" s="22"/>
      <c r="P266" s="23">
        <f t="shared" ref="P266:P320" si="40">+Q266+W266</f>
        <v>0</v>
      </c>
      <c r="Q266" s="23"/>
      <c r="X266" s="24"/>
    </row>
    <row r="267" spans="1:25" ht="39" customHeight="1" x14ac:dyDescent="0.2">
      <c r="A267" s="13">
        <v>96</v>
      </c>
      <c r="B267" s="16"/>
      <c r="C267" s="45" t="s">
        <v>190</v>
      </c>
      <c r="D267" s="67" t="s">
        <v>444</v>
      </c>
      <c r="E267" s="20">
        <f t="shared" si="34"/>
        <v>1005.4000000000001</v>
      </c>
      <c r="F267" s="20">
        <f t="shared" si="35"/>
        <v>997.9</v>
      </c>
      <c r="G267" s="20">
        <f>820.7+17.7+133.9+3.5</f>
        <v>975.80000000000007</v>
      </c>
      <c r="H267" s="20">
        <v>968.3</v>
      </c>
      <c r="I267" s="20">
        <f>114.5-2.5</f>
        <v>112</v>
      </c>
      <c r="J267" s="20">
        <f>104.8+0.1</f>
        <v>104.89999999999999</v>
      </c>
      <c r="K267" s="20">
        <f>30-0.4</f>
        <v>29.6</v>
      </c>
      <c r="L267" s="22">
        <f t="shared" si="39"/>
        <v>3.1</v>
      </c>
      <c r="M267" s="22">
        <v>3.5</v>
      </c>
      <c r="N267" s="22">
        <v>-2.5</v>
      </c>
      <c r="O267" s="3">
        <v>-0.4</v>
      </c>
      <c r="P267" s="23">
        <f t="shared" si="40"/>
        <v>0</v>
      </c>
      <c r="Q267" s="23"/>
      <c r="X267" s="24">
        <v>29.6</v>
      </c>
    </row>
    <row r="268" spans="1:25" ht="24.95" customHeight="1" x14ac:dyDescent="0.2">
      <c r="A268" s="13">
        <v>97</v>
      </c>
      <c r="B268" s="16"/>
      <c r="C268" s="27" t="s">
        <v>192</v>
      </c>
      <c r="D268" s="67" t="s">
        <v>445</v>
      </c>
      <c r="E268" s="20">
        <f t="shared" si="34"/>
        <v>95.7</v>
      </c>
      <c r="F268" s="20">
        <f t="shared" si="35"/>
        <v>95.4</v>
      </c>
      <c r="G268" s="20">
        <f>86.2+6.3+1.4</f>
        <v>93.9</v>
      </c>
      <c r="H268" s="20">
        <v>93.7</v>
      </c>
      <c r="I268" s="20">
        <f>55.7+1.9</f>
        <v>57.6</v>
      </c>
      <c r="J268" s="20">
        <v>57.5</v>
      </c>
      <c r="K268" s="20">
        <f>1.7+0.1</f>
        <v>1.8</v>
      </c>
      <c r="L268" s="22">
        <f t="shared" si="39"/>
        <v>7.7999999999999989</v>
      </c>
      <c r="M268" s="22">
        <f>6.3+1.4</f>
        <v>7.6999999999999993</v>
      </c>
      <c r="N268" s="22">
        <v>1.9</v>
      </c>
      <c r="O268" s="3">
        <v>0.1</v>
      </c>
      <c r="P268" s="23">
        <f t="shared" si="40"/>
        <v>0</v>
      </c>
      <c r="Q268" s="23"/>
      <c r="X268" s="36">
        <f>1.8-0.1</f>
        <v>1.7</v>
      </c>
    </row>
    <row r="269" spans="1:25" ht="24.95" customHeight="1" x14ac:dyDescent="0.2">
      <c r="A269" s="13">
        <v>98</v>
      </c>
      <c r="B269" s="16"/>
      <c r="C269" s="27" t="s">
        <v>194</v>
      </c>
      <c r="D269" s="67" t="s">
        <v>427</v>
      </c>
      <c r="E269" s="20">
        <f t="shared" si="34"/>
        <v>100.49999999999999</v>
      </c>
      <c r="F269" s="20">
        <f t="shared" si="35"/>
        <v>100</v>
      </c>
      <c r="G269" s="20">
        <f>84.1+1.1+0.7</f>
        <v>85.899999999999991</v>
      </c>
      <c r="H269" s="20">
        <v>85.4</v>
      </c>
      <c r="I269" s="20">
        <f>62.6+1.1</f>
        <v>63.7</v>
      </c>
      <c r="J269" s="20">
        <v>63.4</v>
      </c>
      <c r="K269" s="20">
        <f>10.5+1.2+2.9</f>
        <v>14.6</v>
      </c>
      <c r="L269" s="22">
        <f t="shared" si="39"/>
        <v>5.8999999999999995</v>
      </c>
      <c r="M269" s="22">
        <f>1.1+0.7</f>
        <v>1.8</v>
      </c>
      <c r="N269" s="22">
        <v>1.1000000000000001</v>
      </c>
      <c r="O269" s="3">
        <f>1.2+2.9</f>
        <v>4.0999999999999996</v>
      </c>
      <c r="P269" s="23">
        <f t="shared" si="40"/>
        <v>0</v>
      </c>
      <c r="Q269" s="23"/>
      <c r="X269" s="24">
        <v>14.6</v>
      </c>
    </row>
    <row r="270" spans="1:25" ht="24.95" customHeight="1" x14ac:dyDescent="0.2">
      <c r="A270" s="13">
        <v>99</v>
      </c>
      <c r="B270" s="16"/>
      <c r="C270" s="27" t="s">
        <v>195</v>
      </c>
      <c r="D270" s="67" t="s">
        <v>445</v>
      </c>
      <c r="E270" s="20">
        <f t="shared" si="34"/>
        <v>87.3</v>
      </c>
      <c r="F270" s="20">
        <f t="shared" si="35"/>
        <v>65.8</v>
      </c>
      <c r="G270" s="20">
        <f>65.7+1.6</f>
        <v>67.3</v>
      </c>
      <c r="H270" s="20">
        <v>65.8</v>
      </c>
      <c r="I270" s="20">
        <f>41-3.6</f>
        <v>37.4</v>
      </c>
      <c r="J270" s="20">
        <v>36.299999999999997</v>
      </c>
      <c r="K270" s="20">
        <v>20</v>
      </c>
      <c r="L270" s="22">
        <f t="shared" si="39"/>
        <v>1.6</v>
      </c>
      <c r="M270" s="22">
        <v>1.6</v>
      </c>
      <c r="N270" s="22">
        <v>-3.6</v>
      </c>
      <c r="P270" s="23">
        <f t="shared" si="40"/>
        <v>0</v>
      </c>
      <c r="Q270" s="23"/>
      <c r="X270" s="17">
        <v>0</v>
      </c>
    </row>
    <row r="271" spans="1:25" ht="24.95" customHeight="1" x14ac:dyDescent="0.2">
      <c r="A271" s="13">
        <v>100</v>
      </c>
      <c r="B271" s="16"/>
      <c r="C271" s="45" t="s">
        <v>196</v>
      </c>
      <c r="D271" s="67" t="s">
        <v>445</v>
      </c>
      <c r="E271" s="20">
        <f t="shared" ref="E271:E321" si="41">+G271+K271</f>
        <v>102.4</v>
      </c>
      <c r="F271" s="20">
        <f t="shared" ref="F271:F321" si="42">+H271+X271</f>
        <v>101.7</v>
      </c>
      <c r="G271" s="20">
        <f>65.3-13.1</f>
        <v>52.199999999999996</v>
      </c>
      <c r="H271" s="20">
        <v>51.6</v>
      </c>
      <c r="I271" s="20">
        <f>31+1.7</f>
        <v>32.700000000000003</v>
      </c>
      <c r="J271" s="20">
        <v>32.200000000000003</v>
      </c>
      <c r="K271" s="20">
        <f>49+1.2</f>
        <v>50.2</v>
      </c>
      <c r="L271" s="22">
        <f t="shared" si="39"/>
        <v>-11.9</v>
      </c>
      <c r="M271" s="22">
        <v>-13.1</v>
      </c>
      <c r="N271" s="22">
        <v>1.7</v>
      </c>
      <c r="O271" s="3">
        <v>1.2</v>
      </c>
      <c r="P271" s="23">
        <f t="shared" si="40"/>
        <v>0</v>
      </c>
      <c r="Q271" s="23"/>
      <c r="X271" s="24">
        <v>50.1</v>
      </c>
    </row>
    <row r="272" spans="1:25" ht="24.95" customHeight="1" x14ac:dyDescent="0.2">
      <c r="A272" s="13">
        <v>101</v>
      </c>
      <c r="B272" s="16"/>
      <c r="C272" s="27" t="s">
        <v>197</v>
      </c>
      <c r="D272" s="67" t="s">
        <v>446</v>
      </c>
      <c r="E272" s="20">
        <f t="shared" si="41"/>
        <v>63.5</v>
      </c>
      <c r="F272" s="20">
        <f t="shared" si="42"/>
        <v>63.5</v>
      </c>
      <c r="G272" s="20">
        <f>59+4+0.5</f>
        <v>63.5</v>
      </c>
      <c r="H272" s="20">
        <v>63.5</v>
      </c>
      <c r="I272" s="20">
        <f>37.3-1.3</f>
        <v>36</v>
      </c>
      <c r="J272" s="20">
        <v>36</v>
      </c>
      <c r="K272" s="20">
        <f>4-4</f>
        <v>0</v>
      </c>
      <c r="L272" s="22">
        <f t="shared" si="39"/>
        <v>0.5</v>
      </c>
      <c r="M272" s="22">
        <v>0.5</v>
      </c>
      <c r="N272" s="22">
        <v>-1.3</v>
      </c>
      <c r="O272" s="22"/>
      <c r="P272" s="23">
        <f t="shared" si="40"/>
        <v>0</v>
      </c>
      <c r="Q272" s="23"/>
      <c r="X272" s="24"/>
    </row>
    <row r="273" spans="1:24" ht="24.95" customHeight="1" x14ac:dyDescent="0.2">
      <c r="A273" s="13">
        <v>102</v>
      </c>
      <c r="B273" s="16"/>
      <c r="C273" s="40" t="s">
        <v>198</v>
      </c>
      <c r="D273" s="67" t="s">
        <v>445</v>
      </c>
      <c r="E273" s="20">
        <f t="shared" si="41"/>
        <v>42.4</v>
      </c>
      <c r="F273" s="20">
        <f t="shared" si="42"/>
        <v>41.6</v>
      </c>
      <c r="G273" s="20">
        <f>31.4+0.1</f>
        <v>31.5</v>
      </c>
      <c r="H273" s="20">
        <v>30.7</v>
      </c>
      <c r="I273" s="20">
        <f>16.8+0.8</f>
        <v>17.600000000000001</v>
      </c>
      <c r="J273" s="20">
        <v>17</v>
      </c>
      <c r="K273" s="20">
        <v>10.9</v>
      </c>
      <c r="L273" s="22">
        <f t="shared" si="39"/>
        <v>0.1</v>
      </c>
      <c r="M273" s="22">
        <v>0.1</v>
      </c>
      <c r="N273" s="22">
        <v>0.8</v>
      </c>
      <c r="P273" s="23">
        <f t="shared" si="40"/>
        <v>0</v>
      </c>
      <c r="Q273" s="23"/>
      <c r="X273" s="24">
        <v>10.9</v>
      </c>
    </row>
    <row r="274" spans="1:24" ht="29.25" customHeight="1" x14ac:dyDescent="0.2">
      <c r="A274" s="13">
        <v>103</v>
      </c>
      <c r="B274" s="16"/>
      <c r="C274" s="27" t="s">
        <v>199</v>
      </c>
      <c r="D274" s="67" t="s">
        <v>445</v>
      </c>
      <c r="E274" s="20">
        <f t="shared" si="41"/>
        <v>83</v>
      </c>
      <c r="F274" s="20">
        <f t="shared" si="42"/>
        <v>82.6</v>
      </c>
      <c r="G274" s="20">
        <f>35.4-1.4</f>
        <v>34</v>
      </c>
      <c r="H274" s="20">
        <v>33.6</v>
      </c>
      <c r="I274" s="20">
        <f>21.9-1.5</f>
        <v>20.399999999999999</v>
      </c>
      <c r="J274" s="20">
        <v>20.2</v>
      </c>
      <c r="K274" s="20">
        <v>49</v>
      </c>
      <c r="L274" s="22">
        <f t="shared" si="39"/>
        <v>-1.4</v>
      </c>
      <c r="M274" s="22">
        <v>-1.4</v>
      </c>
      <c r="N274" s="22">
        <v>-1.5</v>
      </c>
      <c r="P274" s="23">
        <f t="shared" si="40"/>
        <v>0</v>
      </c>
      <c r="Q274" s="23"/>
      <c r="X274" s="17">
        <v>49</v>
      </c>
    </row>
    <row r="275" spans="1:24" ht="27" customHeight="1" x14ac:dyDescent="0.2">
      <c r="A275" s="13">
        <v>104</v>
      </c>
      <c r="B275" s="16"/>
      <c r="C275" s="45" t="s">
        <v>225</v>
      </c>
      <c r="D275" s="67" t="s">
        <v>445</v>
      </c>
      <c r="E275" s="20">
        <f t="shared" si="41"/>
        <v>60.6</v>
      </c>
      <c r="F275" s="20">
        <f t="shared" si="42"/>
        <v>59.4</v>
      </c>
      <c r="G275" s="20">
        <f>54.4+0.7</f>
        <v>55.1</v>
      </c>
      <c r="H275" s="20">
        <v>53.9</v>
      </c>
      <c r="I275" s="20">
        <f>36.4+0.4</f>
        <v>36.799999999999997</v>
      </c>
      <c r="J275" s="20">
        <v>36.4</v>
      </c>
      <c r="K275" s="20">
        <f>5.6-0.1</f>
        <v>5.5</v>
      </c>
      <c r="L275" s="22">
        <f t="shared" si="39"/>
        <v>0.6</v>
      </c>
      <c r="M275" s="22">
        <v>0.7</v>
      </c>
      <c r="N275" s="22">
        <v>0.4</v>
      </c>
      <c r="O275" s="3">
        <v>-0.1</v>
      </c>
      <c r="P275" s="23">
        <f t="shared" si="40"/>
        <v>0</v>
      </c>
      <c r="Q275" s="23"/>
      <c r="X275" s="24">
        <v>5.5</v>
      </c>
    </row>
    <row r="276" spans="1:24" ht="24.95" customHeight="1" x14ac:dyDescent="0.2">
      <c r="A276" s="13">
        <v>105</v>
      </c>
      <c r="B276" s="16"/>
      <c r="C276" s="27" t="s">
        <v>201</v>
      </c>
      <c r="D276" s="67" t="s">
        <v>445</v>
      </c>
      <c r="E276" s="20">
        <f t="shared" si="41"/>
        <v>51.9</v>
      </c>
      <c r="F276" s="20">
        <f t="shared" si="42"/>
        <v>51.5</v>
      </c>
      <c r="G276" s="20">
        <f>52.4+4.4-6.9</f>
        <v>49.9</v>
      </c>
      <c r="H276" s="20">
        <v>49.5</v>
      </c>
      <c r="I276" s="20">
        <f>23.7+4.4+0.7</f>
        <v>28.8</v>
      </c>
      <c r="J276" s="32">
        <f>28.7+0.1</f>
        <v>28.8</v>
      </c>
      <c r="K276" s="20">
        <v>2</v>
      </c>
      <c r="L276" s="22">
        <f t="shared" si="39"/>
        <v>-6.9</v>
      </c>
      <c r="M276" s="22">
        <v>-6.9</v>
      </c>
      <c r="N276" s="22">
        <v>0.7</v>
      </c>
      <c r="P276" s="23">
        <f t="shared" si="40"/>
        <v>0</v>
      </c>
      <c r="Q276" s="23"/>
      <c r="X276" s="17">
        <v>2</v>
      </c>
    </row>
    <row r="277" spans="1:24" ht="24.95" customHeight="1" x14ac:dyDescent="0.2">
      <c r="A277" s="13">
        <v>106</v>
      </c>
      <c r="B277" s="16"/>
      <c r="C277" s="27" t="s">
        <v>202</v>
      </c>
      <c r="D277" s="67" t="s">
        <v>445</v>
      </c>
      <c r="E277" s="20">
        <f t="shared" si="41"/>
        <v>159.79999999999998</v>
      </c>
      <c r="F277" s="20">
        <f t="shared" si="42"/>
        <v>158.19999999999999</v>
      </c>
      <c r="G277" s="20">
        <f>173.1-16.4</f>
        <v>156.69999999999999</v>
      </c>
      <c r="H277" s="20">
        <v>155.19999999999999</v>
      </c>
      <c r="I277" s="20">
        <f>106.5-13</f>
        <v>93.5</v>
      </c>
      <c r="J277" s="20">
        <v>93.1</v>
      </c>
      <c r="K277" s="20">
        <v>3.1</v>
      </c>
      <c r="L277" s="22">
        <f t="shared" si="39"/>
        <v>-13.299999999999999</v>
      </c>
      <c r="M277" s="22">
        <v>-16.399999999999999</v>
      </c>
      <c r="N277" s="22">
        <v>-13</v>
      </c>
      <c r="O277" s="3">
        <v>3.1</v>
      </c>
      <c r="P277" s="23">
        <f t="shared" si="40"/>
        <v>0</v>
      </c>
      <c r="Q277" s="23"/>
      <c r="X277" s="17">
        <v>3</v>
      </c>
    </row>
    <row r="278" spans="1:24" ht="16.5" customHeight="1" x14ac:dyDescent="0.2">
      <c r="A278" s="13">
        <v>107</v>
      </c>
      <c r="B278" s="11" t="s">
        <v>447</v>
      </c>
      <c r="C278" s="51" t="s">
        <v>448</v>
      </c>
      <c r="D278" s="67"/>
      <c r="E278" s="52">
        <f t="shared" si="41"/>
        <v>40</v>
      </c>
      <c r="F278" s="52">
        <f t="shared" si="42"/>
        <v>32.700000000000003</v>
      </c>
      <c r="G278" s="52">
        <f t="shared" ref="G278:V280" si="43">+G279</f>
        <v>40</v>
      </c>
      <c r="H278" s="74">
        <f t="shared" si="43"/>
        <v>32.700000000000003</v>
      </c>
      <c r="I278" s="58">
        <f t="shared" si="43"/>
        <v>0</v>
      </c>
      <c r="J278" s="58">
        <f t="shared" si="43"/>
        <v>0</v>
      </c>
      <c r="K278" s="58">
        <f t="shared" si="43"/>
        <v>0</v>
      </c>
      <c r="L278" s="58">
        <f t="shared" si="43"/>
        <v>0</v>
      </c>
      <c r="M278" s="58">
        <f t="shared" si="43"/>
        <v>0</v>
      </c>
      <c r="N278" s="58">
        <f t="shared" si="43"/>
        <v>0</v>
      </c>
      <c r="O278" s="58">
        <f t="shared" si="43"/>
        <v>0</v>
      </c>
      <c r="P278" s="58">
        <f t="shared" si="43"/>
        <v>0</v>
      </c>
      <c r="Q278" s="58">
        <f t="shared" si="43"/>
        <v>0</v>
      </c>
      <c r="R278" s="58">
        <f t="shared" si="43"/>
        <v>0</v>
      </c>
      <c r="S278" s="58">
        <f t="shared" si="43"/>
        <v>0</v>
      </c>
      <c r="T278" s="58">
        <f t="shared" si="43"/>
        <v>0</v>
      </c>
      <c r="U278" s="58">
        <f t="shared" si="43"/>
        <v>0</v>
      </c>
      <c r="V278" s="58">
        <f t="shared" si="43"/>
        <v>0</v>
      </c>
      <c r="W278" s="58">
        <f>+W279</f>
        <v>0</v>
      </c>
      <c r="X278" s="58">
        <f>+X279</f>
        <v>0</v>
      </c>
    </row>
    <row r="279" spans="1:24" ht="16.5" customHeight="1" x14ac:dyDescent="0.2">
      <c r="A279" s="13">
        <v>108</v>
      </c>
      <c r="B279" s="11"/>
      <c r="C279" s="40" t="s">
        <v>449</v>
      </c>
      <c r="D279" s="67"/>
      <c r="E279" s="20">
        <f t="shared" si="41"/>
        <v>40</v>
      </c>
      <c r="F279" s="20">
        <f t="shared" si="42"/>
        <v>32.700000000000003</v>
      </c>
      <c r="G279" s="20">
        <f t="shared" si="43"/>
        <v>40</v>
      </c>
      <c r="H279" s="20">
        <f t="shared" si="43"/>
        <v>32.700000000000003</v>
      </c>
      <c r="I279" s="20">
        <f t="shared" si="43"/>
        <v>0</v>
      </c>
      <c r="J279" s="20"/>
      <c r="K279" s="20">
        <f t="shared" si="43"/>
        <v>0</v>
      </c>
      <c r="L279" s="22">
        <f t="shared" si="39"/>
        <v>0</v>
      </c>
      <c r="M279" s="22"/>
      <c r="N279" s="22"/>
      <c r="P279" s="23">
        <f t="shared" si="40"/>
        <v>0</v>
      </c>
      <c r="Q279" s="23"/>
      <c r="X279" s="24"/>
    </row>
    <row r="280" spans="1:24" ht="41.25" customHeight="1" x14ac:dyDescent="0.2">
      <c r="A280" s="41" t="s">
        <v>450</v>
      </c>
      <c r="B280" s="16"/>
      <c r="C280" s="43" t="s">
        <v>70</v>
      </c>
      <c r="D280" s="90"/>
      <c r="E280" s="53">
        <f t="shared" si="41"/>
        <v>40</v>
      </c>
      <c r="F280" s="53">
        <f t="shared" si="42"/>
        <v>32.700000000000003</v>
      </c>
      <c r="G280" s="53">
        <f t="shared" si="43"/>
        <v>40</v>
      </c>
      <c r="H280" s="53">
        <f t="shared" si="43"/>
        <v>32.700000000000003</v>
      </c>
      <c r="I280" s="53">
        <f t="shared" si="43"/>
        <v>0</v>
      </c>
      <c r="J280" s="53"/>
      <c r="K280" s="53">
        <f t="shared" si="43"/>
        <v>0</v>
      </c>
      <c r="L280" s="22">
        <f t="shared" si="39"/>
        <v>0</v>
      </c>
      <c r="M280" s="22"/>
      <c r="N280" s="22"/>
      <c r="P280" s="23">
        <f t="shared" si="40"/>
        <v>0</v>
      </c>
      <c r="Q280" s="23"/>
      <c r="X280" s="24"/>
    </row>
    <row r="281" spans="1:24" ht="30" customHeight="1" x14ac:dyDescent="0.2">
      <c r="A281" s="75" t="s">
        <v>451</v>
      </c>
      <c r="B281" s="16"/>
      <c r="C281" s="27" t="s">
        <v>452</v>
      </c>
      <c r="D281" s="67" t="s">
        <v>453</v>
      </c>
      <c r="E281" s="20">
        <f t="shared" si="41"/>
        <v>40</v>
      </c>
      <c r="F281" s="20">
        <f t="shared" si="42"/>
        <v>32.700000000000003</v>
      </c>
      <c r="G281" s="20">
        <v>40</v>
      </c>
      <c r="H281" s="20">
        <v>32.700000000000003</v>
      </c>
      <c r="I281" s="20"/>
      <c r="J281" s="20"/>
      <c r="K281" s="20"/>
      <c r="L281" s="22">
        <f t="shared" si="39"/>
        <v>0</v>
      </c>
      <c r="M281" s="22"/>
      <c r="N281" s="22"/>
      <c r="P281" s="23">
        <f t="shared" si="40"/>
        <v>0</v>
      </c>
      <c r="Q281" s="23"/>
      <c r="X281" s="24"/>
    </row>
    <row r="282" spans="1:24" ht="20.100000000000001" customHeight="1" x14ac:dyDescent="0.2">
      <c r="A282" s="13">
        <v>109</v>
      </c>
      <c r="B282" s="11" t="s">
        <v>454</v>
      </c>
      <c r="C282" s="51" t="s">
        <v>455</v>
      </c>
      <c r="D282" s="12"/>
      <c r="E282" s="58">
        <f t="shared" si="41"/>
        <v>25</v>
      </c>
      <c r="F282" s="52">
        <f t="shared" si="42"/>
        <v>24</v>
      </c>
      <c r="G282" s="58">
        <f>+G283</f>
        <v>25</v>
      </c>
      <c r="H282" s="58">
        <f>+H283</f>
        <v>24</v>
      </c>
      <c r="I282" s="58">
        <f>+I283</f>
        <v>0</v>
      </c>
      <c r="J282" s="58">
        <f>+J283</f>
        <v>0</v>
      </c>
      <c r="K282" s="58">
        <f>+K283</f>
        <v>0</v>
      </c>
      <c r="L282" s="58">
        <f t="shared" ref="L282:X282" si="44">+L283</f>
        <v>0</v>
      </c>
      <c r="M282" s="58">
        <f t="shared" si="44"/>
        <v>0</v>
      </c>
      <c r="N282" s="58">
        <f t="shared" si="44"/>
        <v>0</v>
      </c>
      <c r="O282" s="58">
        <f t="shared" si="44"/>
        <v>0</v>
      </c>
      <c r="P282" s="58">
        <f t="shared" si="44"/>
        <v>0</v>
      </c>
      <c r="Q282" s="58">
        <f t="shared" si="44"/>
        <v>0</v>
      </c>
      <c r="R282" s="58">
        <f t="shared" si="44"/>
        <v>0</v>
      </c>
      <c r="S282" s="58">
        <f t="shared" si="44"/>
        <v>0</v>
      </c>
      <c r="T282" s="58">
        <f t="shared" si="44"/>
        <v>0</v>
      </c>
      <c r="U282" s="58">
        <f t="shared" si="44"/>
        <v>0</v>
      </c>
      <c r="V282" s="58">
        <f t="shared" si="44"/>
        <v>0</v>
      </c>
      <c r="W282" s="58">
        <f t="shared" si="44"/>
        <v>0</v>
      </c>
      <c r="X282" s="58">
        <f t="shared" si="44"/>
        <v>0</v>
      </c>
    </row>
    <row r="283" spans="1:24" ht="12.6" customHeight="1" x14ac:dyDescent="0.2">
      <c r="A283" s="13">
        <v>110</v>
      </c>
      <c r="B283" s="11"/>
      <c r="C283" s="40" t="s">
        <v>59</v>
      </c>
      <c r="D283" s="12"/>
      <c r="E283" s="20">
        <f t="shared" si="41"/>
        <v>25</v>
      </c>
      <c r="F283" s="20">
        <f t="shared" si="42"/>
        <v>24</v>
      </c>
      <c r="G283" s="20">
        <f>+G284+G285</f>
        <v>25</v>
      </c>
      <c r="H283" s="20">
        <f>+H284+H285</f>
        <v>24</v>
      </c>
      <c r="I283" s="20">
        <f>SUM(I284:I284)</f>
        <v>0</v>
      </c>
      <c r="J283" s="20"/>
      <c r="K283" s="20">
        <f>SUM(K284:K284)</f>
        <v>0</v>
      </c>
      <c r="L283" s="22">
        <f t="shared" si="39"/>
        <v>0</v>
      </c>
      <c r="M283" s="22"/>
      <c r="N283" s="22"/>
      <c r="P283" s="23">
        <f t="shared" si="40"/>
        <v>0</v>
      </c>
      <c r="Q283" s="23"/>
      <c r="X283" s="24"/>
    </row>
    <row r="284" spans="1:24" ht="24.95" customHeight="1" x14ac:dyDescent="0.2">
      <c r="A284" s="75" t="s">
        <v>456</v>
      </c>
      <c r="B284" s="16"/>
      <c r="C284" s="45" t="s">
        <v>457</v>
      </c>
      <c r="D284" s="18" t="s">
        <v>458</v>
      </c>
      <c r="E284" s="20">
        <f t="shared" si="41"/>
        <v>24</v>
      </c>
      <c r="F284" s="20">
        <f t="shared" si="42"/>
        <v>24</v>
      </c>
      <c r="G284" s="20">
        <v>24</v>
      </c>
      <c r="H284" s="20">
        <v>24</v>
      </c>
      <c r="I284" s="20"/>
      <c r="J284" s="20"/>
      <c r="K284" s="20"/>
      <c r="L284" s="22">
        <f t="shared" si="39"/>
        <v>0</v>
      </c>
      <c r="M284" s="22"/>
      <c r="N284" s="22"/>
      <c r="P284" s="23">
        <f t="shared" si="40"/>
        <v>0</v>
      </c>
      <c r="Q284" s="23"/>
      <c r="X284" s="24"/>
    </row>
    <row r="285" spans="1:24" ht="24.95" customHeight="1" x14ac:dyDescent="0.2">
      <c r="A285" s="75" t="s">
        <v>459</v>
      </c>
      <c r="B285" s="16"/>
      <c r="C285" s="45" t="s">
        <v>460</v>
      </c>
      <c r="D285" s="18" t="s">
        <v>461</v>
      </c>
      <c r="E285" s="20">
        <f t="shared" si="41"/>
        <v>1</v>
      </c>
      <c r="F285" s="57">
        <f t="shared" si="42"/>
        <v>0</v>
      </c>
      <c r="G285" s="20">
        <v>1</v>
      </c>
      <c r="H285" s="57">
        <v>0</v>
      </c>
      <c r="I285" s="20"/>
      <c r="J285" s="20"/>
      <c r="K285" s="20"/>
      <c r="L285" s="22">
        <f t="shared" si="39"/>
        <v>0</v>
      </c>
      <c r="M285" s="22"/>
      <c r="N285" s="22"/>
      <c r="P285" s="23">
        <f t="shared" si="40"/>
        <v>0</v>
      </c>
      <c r="Q285" s="23"/>
      <c r="X285" s="24"/>
    </row>
    <row r="286" spans="1:24" ht="20.100000000000001" customHeight="1" x14ac:dyDescent="0.2">
      <c r="A286" s="13">
        <v>111</v>
      </c>
      <c r="B286" s="11" t="s">
        <v>462</v>
      </c>
      <c r="C286" s="51" t="s">
        <v>463</v>
      </c>
      <c r="D286" s="12"/>
      <c r="E286" s="58">
        <f t="shared" si="41"/>
        <v>4952.7000000000007</v>
      </c>
      <c r="F286" s="52">
        <f t="shared" si="42"/>
        <v>4371.5000000000009</v>
      </c>
      <c r="G286" s="58">
        <f>+G287+G288+G289+G297+G299+G301+G303+G305+G307+G309+G311+G313+G315+G317+G319</f>
        <v>4788.7000000000007</v>
      </c>
      <c r="H286" s="58">
        <f>+H287+H288+H289+H297+H299+H301+H303+H305+H307+H309+H311+H313+H315+H317+H319</f>
        <v>4212.9000000000005</v>
      </c>
      <c r="I286" s="58">
        <f>+I287+I288+I289+I297+I299+I301+I303+I305+I307+I309+I311+I313+I315+I317+I319</f>
        <v>2915.6</v>
      </c>
      <c r="J286" s="58">
        <f>+J287+J288+J289+J297+J299+J301+J303+J305+J307+J309+J311+J313+J315+J317+J319</f>
        <v>2746.6000000000004</v>
      </c>
      <c r="K286" s="58">
        <f>+K287+K288+K289+K297+K299+K301+K303+K305+K307+K309+K311+K313+K315+K317+K319</f>
        <v>164</v>
      </c>
      <c r="L286" s="58">
        <f t="shared" ref="L286:X286" si="45">+L287+L288+L289+L297+L299+L301+L303+L305+L307+L309+L311+L313+L315+L317+L319</f>
        <v>48.300000000000004</v>
      </c>
      <c r="M286" s="58">
        <f t="shared" si="45"/>
        <v>56.1</v>
      </c>
      <c r="N286" s="58">
        <f t="shared" si="45"/>
        <v>12.599999999999998</v>
      </c>
      <c r="O286" s="58">
        <f t="shared" si="45"/>
        <v>-7.7999999999999989</v>
      </c>
      <c r="P286" s="58">
        <f t="shared" si="45"/>
        <v>0</v>
      </c>
      <c r="Q286" s="58">
        <f t="shared" si="45"/>
        <v>0</v>
      </c>
      <c r="R286" s="58">
        <f t="shared" si="45"/>
        <v>0</v>
      </c>
      <c r="S286" s="58">
        <f t="shared" si="45"/>
        <v>0</v>
      </c>
      <c r="T286" s="58">
        <f t="shared" si="45"/>
        <v>0</v>
      </c>
      <c r="U286" s="58">
        <f t="shared" si="45"/>
        <v>0</v>
      </c>
      <c r="V286" s="58">
        <f t="shared" si="45"/>
        <v>0</v>
      </c>
      <c r="W286" s="58">
        <f t="shared" si="45"/>
        <v>0</v>
      </c>
      <c r="X286" s="58">
        <f t="shared" si="45"/>
        <v>158.60000000000002</v>
      </c>
    </row>
    <row r="287" spans="1:24" ht="15" customHeight="1" x14ac:dyDescent="0.2">
      <c r="A287" s="13">
        <v>112</v>
      </c>
      <c r="B287" s="11"/>
      <c r="C287" s="27" t="s">
        <v>464</v>
      </c>
      <c r="D287" s="18" t="s">
        <v>465</v>
      </c>
      <c r="E287" s="20">
        <f t="shared" si="41"/>
        <v>63.5</v>
      </c>
      <c r="F287" s="20">
        <f t="shared" si="42"/>
        <v>63.5</v>
      </c>
      <c r="G287" s="20">
        <v>13.5</v>
      </c>
      <c r="H287" s="20">
        <v>13.5</v>
      </c>
      <c r="I287" s="20">
        <v>7.5</v>
      </c>
      <c r="J287" s="20">
        <v>7.5</v>
      </c>
      <c r="K287" s="20">
        <v>50</v>
      </c>
      <c r="L287" s="22">
        <f t="shared" si="39"/>
        <v>0</v>
      </c>
      <c r="M287" s="22"/>
      <c r="N287" s="22"/>
      <c r="P287" s="23">
        <f t="shared" si="40"/>
        <v>0</v>
      </c>
      <c r="Q287" s="23"/>
      <c r="X287" s="24">
        <v>50</v>
      </c>
    </row>
    <row r="288" spans="1:24" ht="15" customHeight="1" x14ac:dyDescent="0.2">
      <c r="A288" s="13">
        <v>113</v>
      </c>
      <c r="B288" s="11"/>
      <c r="C288" s="40" t="s">
        <v>466</v>
      </c>
      <c r="D288" s="18" t="s">
        <v>467</v>
      </c>
      <c r="E288" s="20">
        <f t="shared" si="41"/>
        <v>117.9</v>
      </c>
      <c r="F288" s="20">
        <f t="shared" si="42"/>
        <v>117.89999999999999</v>
      </c>
      <c r="G288" s="20">
        <f>115.7+2</f>
        <v>117.7</v>
      </c>
      <c r="H288" s="20">
        <v>117.8</v>
      </c>
      <c r="I288" s="20">
        <f>105.9+2</f>
        <v>107.9</v>
      </c>
      <c r="J288" s="20">
        <v>107.9</v>
      </c>
      <c r="K288" s="20">
        <v>0.2</v>
      </c>
      <c r="L288" s="22">
        <f t="shared" si="39"/>
        <v>2</v>
      </c>
      <c r="M288" s="22">
        <v>2</v>
      </c>
      <c r="N288" s="22">
        <v>2</v>
      </c>
      <c r="P288" s="23">
        <f t="shared" si="40"/>
        <v>0</v>
      </c>
      <c r="Q288" s="23"/>
      <c r="X288" s="24">
        <v>0.1</v>
      </c>
    </row>
    <row r="289" spans="1:24" ht="15" customHeight="1" x14ac:dyDescent="0.2">
      <c r="A289" s="13">
        <v>114</v>
      </c>
      <c r="B289" s="11"/>
      <c r="C289" s="40" t="s">
        <v>59</v>
      </c>
      <c r="D289" s="18"/>
      <c r="E289" s="20">
        <f t="shared" si="41"/>
        <v>3588.2</v>
      </c>
      <c r="F289" s="20">
        <f t="shared" si="42"/>
        <v>3037.3999999999996</v>
      </c>
      <c r="G289" s="20">
        <f>+G290+G291+G292+G293+G294+G295+G296</f>
        <v>3504.2</v>
      </c>
      <c r="H289" s="20">
        <f>+H290+H291+H292+H293+H294+H295+H296</f>
        <v>2958.2999999999997</v>
      </c>
      <c r="I289" s="20">
        <f>+I290+I291+I292+I293+I294+I295+I296</f>
        <v>1972.9</v>
      </c>
      <c r="J289" s="20">
        <f>+J290+J291+J292+J293+J294+J295+J296</f>
        <v>1815</v>
      </c>
      <c r="K289" s="20">
        <f>+K290+K291+K292+K293+K294+K295+K296</f>
        <v>84</v>
      </c>
      <c r="L289" s="20">
        <f t="shared" ref="L289:X289" si="46">+L290+L291+L292+L293+L294+L295+L296</f>
        <v>1.1000000000000014</v>
      </c>
      <c r="M289" s="20">
        <f t="shared" si="46"/>
        <v>12.100000000000001</v>
      </c>
      <c r="N289" s="20">
        <f t="shared" si="46"/>
        <v>-16.3</v>
      </c>
      <c r="O289" s="20">
        <f t="shared" si="46"/>
        <v>-11</v>
      </c>
      <c r="P289" s="20">
        <f t="shared" si="46"/>
        <v>0</v>
      </c>
      <c r="Q289" s="20">
        <f t="shared" si="46"/>
        <v>0</v>
      </c>
      <c r="R289" s="20">
        <f t="shared" si="46"/>
        <v>0</v>
      </c>
      <c r="S289" s="20">
        <f t="shared" si="46"/>
        <v>0</v>
      </c>
      <c r="T289" s="20">
        <f t="shared" si="46"/>
        <v>0</v>
      </c>
      <c r="U289" s="20">
        <f t="shared" si="46"/>
        <v>0</v>
      </c>
      <c r="V289" s="20">
        <f t="shared" si="46"/>
        <v>0</v>
      </c>
      <c r="W289" s="20">
        <f t="shared" si="46"/>
        <v>0</v>
      </c>
      <c r="X289" s="20">
        <f t="shared" si="46"/>
        <v>79.099999999999994</v>
      </c>
    </row>
    <row r="290" spans="1:24" ht="93.75" customHeight="1" x14ac:dyDescent="0.2">
      <c r="A290" s="75" t="s">
        <v>468</v>
      </c>
      <c r="B290" s="11"/>
      <c r="C290" s="40" t="s">
        <v>460</v>
      </c>
      <c r="D290" s="18" t="s">
        <v>469</v>
      </c>
      <c r="E290" s="20">
        <f t="shared" si="41"/>
        <v>3211.2999999999997</v>
      </c>
      <c r="F290" s="20">
        <f t="shared" si="42"/>
        <v>2725.2999999999997</v>
      </c>
      <c r="G290" s="20">
        <f>3128.1-10-3-4.4+16.6</f>
        <v>3127.2999999999997</v>
      </c>
      <c r="H290" s="20">
        <v>2646.2</v>
      </c>
      <c r="I290" s="20">
        <f>1989.2-16.3</f>
        <v>1972.9</v>
      </c>
      <c r="J290" s="32">
        <f>1814.9+0.1</f>
        <v>1815</v>
      </c>
      <c r="K290" s="20">
        <v>84</v>
      </c>
      <c r="L290" s="22">
        <f t="shared" si="39"/>
        <v>16.600000000000001</v>
      </c>
      <c r="M290" s="22">
        <v>16.600000000000001</v>
      </c>
      <c r="N290" s="22">
        <v>-16.3</v>
      </c>
      <c r="P290" s="23">
        <f t="shared" si="40"/>
        <v>0</v>
      </c>
      <c r="Q290" s="23"/>
      <c r="X290" s="24">
        <v>79.099999999999994</v>
      </c>
    </row>
    <row r="291" spans="1:24" ht="28.5" customHeight="1" x14ac:dyDescent="0.2">
      <c r="A291" s="75" t="s">
        <v>470</v>
      </c>
      <c r="B291" s="16"/>
      <c r="C291" s="45" t="s">
        <v>471</v>
      </c>
      <c r="D291" s="18" t="s">
        <v>472</v>
      </c>
      <c r="E291" s="20">
        <f t="shared" si="41"/>
        <v>10.5</v>
      </c>
      <c r="F291" s="20">
        <f t="shared" si="42"/>
        <v>10.5</v>
      </c>
      <c r="G291" s="20">
        <v>10.5</v>
      </c>
      <c r="H291" s="32">
        <v>10.5</v>
      </c>
      <c r="I291" s="20"/>
      <c r="J291" s="20"/>
      <c r="K291" s="20"/>
      <c r="L291" s="22">
        <f t="shared" si="39"/>
        <v>0</v>
      </c>
      <c r="M291" s="22"/>
      <c r="N291" s="22"/>
      <c r="P291" s="23">
        <f t="shared" si="40"/>
        <v>0</v>
      </c>
      <c r="Q291" s="23"/>
      <c r="X291" s="24"/>
    </row>
    <row r="292" spans="1:24" ht="24.75" customHeight="1" x14ac:dyDescent="0.2">
      <c r="A292" s="75" t="s">
        <v>473</v>
      </c>
      <c r="B292" s="16"/>
      <c r="C292" s="45" t="s">
        <v>474</v>
      </c>
      <c r="D292" s="18" t="s">
        <v>475</v>
      </c>
      <c r="E292" s="20">
        <f t="shared" si="41"/>
        <v>55</v>
      </c>
      <c r="F292" s="57">
        <f t="shared" si="42"/>
        <v>0</v>
      </c>
      <c r="G292" s="20">
        <v>55</v>
      </c>
      <c r="H292" s="91">
        <v>0</v>
      </c>
      <c r="I292" s="20"/>
      <c r="J292" s="20"/>
      <c r="K292" s="20"/>
      <c r="L292" s="22">
        <f t="shared" si="39"/>
        <v>0</v>
      </c>
      <c r="M292" s="22"/>
      <c r="N292" s="22"/>
      <c r="P292" s="23">
        <f t="shared" si="40"/>
        <v>0</v>
      </c>
      <c r="Q292" s="23"/>
      <c r="X292" s="24"/>
    </row>
    <row r="293" spans="1:24" ht="27.75" customHeight="1" x14ac:dyDescent="0.2">
      <c r="A293" s="75" t="s">
        <v>476</v>
      </c>
      <c r="B293" s="16"/>
      <c r="C293" s="45" t="s">
        <v>477</v>
      </c>
      <c r="D293" s="18" t="s">
        <v>339</v>
      </c>
      <c r="E293" s="20">
        <f t="shared" si="41"/>
        <v>22.4</v>
      </c>
      <c r="F293" s="20">
        <f t="shared" si="42"/>
        <v>19.2</v>
      </c>
      <c r="G293" s="20">
        <v>22.4</v>
      </c>
      <c r="H293" s="32">
        <v>19.2</v>
      </c>
      <c r="I293" s="20"/>
      <c r="J293" s="20"/>
      <c r="K293" s="20"/>
      <c r="L293" s="22">
        <f t="shared" si="39"/>
        <v>0</v>
      </c>
      <c r="M293" s="22"/>
      <c r="N293" s="22"/>
      <c r="P293" s="23">
        <f t="shared" si="40"/>
        <v>0</v>
      </c>
      <c r="Q293" s="23"/>
      <c r="X293" s="24"/>
    </row>
    <row r="294" spans="1:24" ht="15" customHeight="1" x14ac:dyDescent="0.2">
      <c r="A294" s="75" t="s">
        <v>478</v>
      </c>
      <c r="B294" s="16"/>
      <c r="C294" s="45" t="s">
        <v>479</v>
      </c>
      <c r="D294" s="18" t="s">
        <v>480</v>
      </c>
      <c r="E294" s="20">
        <f t="shared" si="41"/>
        <v>250</v>
      </c>
      <c r="F294" s="20">
        <f t="shared" si="42"/>
        <v>250</v>
      </c>
      <c r="G294" s="20">
        <v>250</v>
      </c>
      <c r="H294" s="32">
        <v>250</v>
      </c>
      <c r="I294" s="20"/>
      <c r="J294" s="20"/>
      <c r="K294" s="20"/>
      <c r="L294" s="22">
        <f t="shared" si="39"/>
        <v>0</v>
      </c>
      <c r="M294" s="22"/>
      <c r="N294" s="22"/>
      <c r="P294" s="23">
        <f t="shared" si="40"/>
        <v>0</v>
      </c>
      <c r="Q294" s="23"/>
      <c r="X294" s="24"/>
    </row>
    <row r="295" spans="1:24" ht="15" customHeight="1" x14ac:dyDescent="0.2">
      <c r="A295" s="75" t="s">
        <v>481</v>
      </c>
      <c r="B295" s="16"/>
      <c r="C295" s="45" t="s">
        <v>482</v>
      </c>
      <c r="D295" s="18" t="s">
        <v>339</v>
      </c>
      <c r="E295" s="20">
        <f t="shared" si="41"/>
        <v>21.5</v>
      </c>
      <c r="F295" s="20">
        <f t="shared" si="42"/>
        <v>21.5</v>
      </c>
      <c r="G295" s="20">
        <v>21.5</v>
      </c>
      <c r="H295" s="32">
        <v>21.5</v>
      </c>
      <c r="I295" s="20"/>
      <c r="J295" s="20"/>
      <c r="K295" s="20"/>
      <c r="L295" s="22">
        <f t="shared" si="39"/>
        <v>0</v>
      </c>
      <c r="M295" s="22"/>
      <c r="N295" s="22"/>
      <c r="P295" s="23">
        <f t="shared" si="40"/>
        <v>0</v>
      </c>
      <c r="Q295" s="23"/>
      <c r="X295" s="24"/>
    </row>
    <row r="296" spans="1:24" ht="25.5" x14ac:dyDescent="0.2">
      <c r="A296" s="75" t="s">
        <v>483</v>
      </c>
      <c r="B296" s="16"/>
      <c r="C296" s="49" t="s">
        <v>484</v>
      </c>
      <c r="D296" s="18" t="s">
        <v>339</v>
      </c>
      <c r="E296" s="20">
        <f t="shared" si="41"/>
        <v>17.5</v>
      </c>
      <c r="F296" s="20">
        <f t="shared" si="42"/>
        <v>10.9</v>
      </c>
      <c r="G296" s="20">
        <f>22-4.5</f>
        <v>17.5</v>
      </c>
      <c r="H296" s="32">
        <v>10.9</v>
      </c>
      <c r="I296" s="20"/>
      <c r="J296" s="20"/>
      <c r="K296" s="20">
        <f>11-11</f>
        <v>0</v>
      </c>
      <c r="L296" s="22">
        <f t="shared" si="39"/>
        <v>-15.5</v>
      </c>
      <c r="M296" s="22">
        <v>-4.5</v>
      </c>
      <c r="N296" s="22"/>
      <c r="O296" s="3">
        <v>-11</v>
      </c>
      <c r="P296" s="23">
        <f t="shared" si="40"/>
        <v>0</v>
      </c>
      <c r="Q296" s="23"/>
      <c r="X296" s="24"/>
    </row>
    <row r="297" spans="1:24" ht="12.6" customHeight="1" x14ac:dyDescent="0.2">
      <c r="A297" s="75">
        <v>115</v>
      </c>
      <c r="B297" s="16"/>
      <c r="C297" s="40" t="s">
        <v>460</v>
      </c>
      <c r="D297" s="18"/>
      <c r="E297" s="20">
        <f>+E298</f>
        <v>51</v>
      </c>
      <c r="F297" s="20">
        <f t="shared" si="42"/>
        <v>42.3</v>
      </c>
      <c r="G297" s="20">
        <f>+G298</f>
        <v>51</v>
      </c>
      <c r="H297" s="32">
        <f>+H298</f>
        <v>42.3</v>
      </c>
      <c r="I297" s="20"/>
      <c r="J297" s="20"/>
      <c r="K297" s="20"/>
      <c r="L297" s="22">
        <f t="shared" si="39"/>
        <v>0</v>
      </c>
      <c r="M297" s="22"/>
      <c r="N297" s="22"/>
      <c r="P297" s="23">
        <f t="shared" si="40"/>
        <v>0</v>
      </c>
      <c r="Q297" s="23"/>
      <c r="X297" s="24"/>
    </row>
    <row r="298" spans="1:24" ht="12.6" customHeight="1" x14ac:dyDescent="0.2">
      <c r="A298" s="75" t="s">
        <v>485</v>
      </c>
      <c r="B298" s="16"/>
      <c r="C298" s="45" t="s">
        <v>486</v>
      </c>
      <c r="D298" s="18" t="s">
        <v>487</v>
      </c>
      <c r="E298" s="20">
        <f t="shared" si="41"/>
        <v>51</v>
      </c>
      <c r="F298" s="20">
        <f t="shared" si="42"/>
        <v>42.3</v>
      </c>
      <c r="G298" s="20">
        <v>51</v>
      </c>
      <c r="H298" s="20">
        <v>42.3</v>
      </c>
      <c r="I298" s="20"/>
      <c r="J298" s="20"/>
      <c r="K298" s="20"/>
      <c r="L298" s="22">
        <f t="shared" si="39"/>
        <v>0</v>
      </c>
      <c r="M298" s="22"/>
      <c r="N298" s="22"/>
      <c r="P298" s="23">
        <f t="shared" si="40"/>
        <v>0</v>
      </c>
      <c r="Q298" s="23"/>
      <c r="X298" s="24"/>
    </row>
    <row r="299" spans="1:24" ht="24.95" customHeight="1" x14ac:dyDescent="0.2">
      <c r="A299" s="260">
        <v>116</v>
      </c>
      <c r="B299" s="262"/>
      <c r="C299" s="27" t="s">
        <v>190</v>
      </c>
      <c r="D299" s="38" t="s">
        <v>488</v>
      </c>
      <c r="E299" s="20">
        <f t="shared" si="41"/>
        <v>175.20000000000002</v>
      </c>
      <c r="F299" s="20">
        <f t="shared" si="42"/>
        <v>170.3</v>
      </c>
      <c r="G299" s="20">
        <f>174.4-8+1.4</f>
        <v>167.8</v>
      </c>
      <c r="H299" s="20">
        <v>163</v>
      </c>
      <c r="I299" s="20">
        <f>135.4-12.1+1.4</f>
        <v>124.70000000000002</v>
      </c>
      <c r="J299" s="20">
        <v>120.8</v>
      </c>
      <c r="K299" s="20">
        <f>6+1.4</f>
        <v>7.4</v>
      </c>
      <c r="L299" s="22">
        <f t="shared" si="39"/>
        <v>-5.1999999999999993</v>
      </c>
      <c r="M299" s="22">
        <f>-8+1.4</f>
        <v>-6.6</v>
      </c>
      <c r="N299" s="22">
        <f>-12.1+1.4</f>
        <v>-10.7</v>
      </c>
      <c r="O299" s="22">
        <v>1.4</v>
      </c>
      <c r="P299" s="23">
        <f t="shared" si="40"/>
        <v>0</v>
      </c>
      <c r="Q299" s="23"/>
      <c r="X299" s="24">
        <v>7.3</v>
      </c>
    </row>
    <row r="300" spans="1:24" ht="15.6" customHeight="1" x14ac:dyDescent="0.2">
      <c r="A300" s="261"/>
      <c r="B300" s="263"/>
      <c r="C300" s="92" t="s">
        <v>489</v>
      </c>
      <c r="D300" s="18" t="s">
        <v>490</v>
      </c>
      <c r="E300" s="20">
        <f t="shared" si="41"/>
        <v>5</v>
      </c>
      <c r="F300" s="20">
        <f t="shared" si="42"/>
        <v>5</v>
      </c>
      <c r="G300" s="20">
        <v>5</v>
      </c>
      <c r="H300" s="20">
        <v>5</v>
      </c>
      <c r="I300" s="20">
        <v>4.9000000000000004</v>
      </c>
      <c r="J300" s="20">
        <v>4.9000000000000004</v>
      </c>
      <c r="K300" s="20"/>
      <c r="L300" s="22">
        <f t="shared" si="39"/>
        <v>0</v>
      </c>
      <c r="M300" s="22"/>
      <c r="N300" s="22"/>
      <c r="P300" s="23">
        <f t="shared" si="40"/>
        <v>0</v>
      </c>
      <c r="Q300" s="23"/>
      <c r="X300" s="24"/>
    </row>
    <row r="301" spans="1:24" ht="28.15" customHeight="1" x14ac:dyDescent="0.2">
      <c r="A301" s="260">
        <v>117</v>
      </c>
      <c r="B301" s="280"/>
      <c r="C301" s="27" t="s">
        <v>192</v>
      </c>
      <c r="D301" s="18" t="s">
        <v>488</v>
      </c>
      <c r="E301" s="20">
        <f t="shared" si="41"/>
        <v>74.3</v>
      </c>
      <c r="F301" s="20">
        <f t="shared" si="42"/>
        <v>73</v>
      </c>
      <c r="G301" s="20">
        <f>76.2-2.4</f>
        <v>73.8</v>
      </c>
      <c r="H301" s="20">
        <v>72.599999999999994</v>
      </c>
      <c r="I301" s="20">
        <f>64.6-2.9</f>
        <v>61.699999999999996</v>
      </c>
      <c r="J301" s="20">
        <v>60.6</v>
      </c>
      <c r="K301" s="20">
        <v>0.5</v>
      </c>
      <c r="L301" s="22">
        <f t="shared" si="39"/>
        <v>-2.4</v>
      </c>
      <c r="M301" s="22">
        <v>-2.4</v>
      </c>
      <c r="N301" s="22">
        <v>-2.9</v>
      </c>
      <c r="O301" s="22"/>
      <c r="P301" s="23">
        <f t="shared" si="40"/>
        <v>0</v>
      </c>
      <c r="Q301" s="23"/>
      <c r="X301" s="24">
        <v>0.4</v>
      </c>
    </row>
    <row r="302" spans="1:24" ht="16.149999999999999" customHeight="1" x14ac:dyDescent="0.2">
      <c r="A302" s="261"/>
      <c r="B302" s="280"/>
      <c r="C302" s="92" t="s">
        <v>489</v>
      </c>
      <c r="D302" s="18" t="s">
        <v>490</v>
      </c>
      <c r="E302" s="20">
        <f t="shared" si="41"/>
        <v>2.4</v>
      </c>
      <c r="F302" s="20">
        <f t="shared" si="42"/>
        <v>2.4</v>
      </c>
      <c r="G302" s="20">
        <v>2.4</v>
      </c>
      <c r="H302" s="20">
        <v>2.4</v>
      </c>
      <c r="I302" s="20">
        <v>2.4</v>
      </c>
      <c r="J302" s="20">
        <v>2.4</v>
      </c>
      <c r="K302" s="20"/>
      <c r="L302" s="22">
        <f t="shared" si="39"/>
        <v>0</v>
      </c>
      <c r="M302" s="22"/>
      <c r="N302" s="22"/>
      <c r="P302" s="23">
        <f t="shared" si="40"/>
        <v>0</v>
      </c>
      <c r="Q302" s="23"/>
      <c r="X302" s="24"/>
    </row>
    <row r="303" spans="1:24" ht="25.5" x14ac:dyDescent="0.2">
      <c r="A303" s="260">
        <v>118</v>
      </c>
      <c r="B303" s="280"/>
      <c r="C303" s="27" t="s">
        <v>194</v>
      </c>
      <c r="D303" s="18" t="s">
        <v>488</v>
      </c>
      <c r="E303" s="20">
        <f t="shared" si="41"/>
        <v>106.3</v>
      </c>
      <c r="F303" s="20">
        <f t="shared" si="42"/>
        <v>105.30000000000001</v>
      </c>
      <c r="G303" s="20">
        <f>100.6+2.2</f>
        <v>102.8</v>
      </c>
      <c r="H303" s="20">
        <v>101.9</v>
      </c>
      <c r="I303" s="20">
        <f>68.3+2.2</f>
        <v>70.5</v>
      </c>
      <c r="J303" s="32">
        <f>69.9+0.1</f>
        <v>70</v>
      </c>
      <c r="K303" s="20">
        <f>3+0.5</f>
        <v>3.5</v>
      </c>
      <c r="L303" s="22">
        <f t="shared" si="39"/>
        <v>2.7</v>
      </c>
      <c r="M303" s="22">
        <v>2.2000000000000002</v>
      </c>
      <c r="N303" s="22">
        <v>2.2000000000000002</v>
      </c>
      <c r="O303" s="22">
        <v>0.5</v>
      </c>
      <c r="P303" s="23">
        <f t="shared" si="40"/>
        <v>0</v>
      </c>
      <c r="Q303" s="23"/>
      <c r="X303" s="24">
        <v>3.4</v>
      </c>
    </row>
    <row r="304" spans="1:24" ht="13.9" customHeight="1" x14ac:dyDescent="0.2">
      <c r="A304" s="261"/>
      <c r="B304" s="280"/>
      <c r="C304" s="92" t="s">
        <v>489</v>
      </c>
      <c r="D304" s="18" t="s">
        <v>490</v>
      </c>
      <c r="E304" s="20">
        <f t="shared" si="41"/>
        <v>2.4</v>
      </c>
      <c r="F304" s="20">
        <f t="shared" si="42"/>
        <v>2.4</v>
      </c>
      <c r="G304" s="20">
        <v>2.4</v>
      </c>
      <c r="H304" s="20">
        <v>2.4</v>
      </c>
      <c r="I304" s="20">
        <v>2.4</v>
      </c>
      <c r="J304" s="20">
        <v>2.4</v>
      </c>
      <c r="K304" s="20"/>
      <c r="L304" s="22">
        <f t="shared" si="39"/>
        <v>0</v>
      </c>
      <c r="M304" s="22"/>
      <c r="N304" s="22"/>
      <c r="P304" s="23">
        <f t="shared" si="40"/>
        <v>0</v>
      </c>
      <c r="Q304" s="23"/>
      <c r="X304" s="24"/>
    </row>
    <row r="305" spans="1:24" ht="24.95" customHeight="1" x14ac:dyDescent="0.2">
      <c r="A305" s="260">
        <v>119</v>
      </c>
      <c r="B305" s="280"/>
      <c r="C305" s="27" t="s">
        <v>195</v>
      </c>
      <c r="D305" s="18" t="s">
        <v>488</v>
      </c>
      <c r="E305" s="20">
        <f t="shared" si="41"/>
        <v>97.2</v>
      </c>
      <c r="F305" s="20">
        <f t="shared" si="42"/>
        <v>95.7</v>
      </c>
      <c r="G305" s="20">
        <f>91.3+1.9</f>
        <v>93.2</v>
      </c>
      <c r="H305" s="20">
        <v>91.8</v>
      </c>
      <c r="I305" s="20">
        <f>66.6+0.3</f>
        <v>66.899999999999991</v>
      </c>
      <c r="J305" s="20">
        <v>65.900000000000006</v>
      </c>
      <c r="K305" s="20">
        <v>4</v>
      </c>
      <c r="L305" s="22">
        <f t="shared" si="39"/>
        <v>1.9</v>
      </c>
      <c r="M305" s="22">
        <v>1.9</v>
      </c>
      <c r="N305" s="22">
        <v>0.3</v>
      </c>
      <c r="P305" s="23">
        <f t="shared" si="40"/>
        <v>0</v>
      </c>
      <c r="Q305" s="23"/>
      <c r="X305" s="24">
        <v>3.9</v>
      </c>
    </row>
    <row r="306" spans="1:24" ht="16.899999999999999" customHeight="1" x14ac:dyDescent="0.2">
      <c r="A306" s="261"/>
      <c r="B306" s="280"/>
      <c r="C306" s="92" t="s">
        <v>489</v>
      </c>
      <c r="D306" s="18" t="s">
        <v>490</v>
      </c>
      <c r="E306" s="20">
        <f t="shared" si="41"/>
        <v>2.4</v>
      </c>
      <c r="F306" s="20">
        <f t="shared" si="42"/>
        <v>2.2999999999999998</v>
      </c>
      <c r="G306" s="20">
        <v>2.4</v>
      </c>
      <c r="H306" s="20">
        <v>2.2999999999999998</v>
      </c>
      <c r="I306" s="20">
        <v>2.2999999999999998</v>
      </c>
      <c r="J306" s="20">
        <v>2.2999999999999998</v>
      </c>
      <c r="K306" s="20"/>
      <c r="L306" s="22">
        <f t="shared" si="39"/>
        <v>0</v>
      </c>
      <c r="M306" s="22"/>
      <c r="N306" s="22"/>
      <c r="P306" s="23">
        <f t="shared" si="40"/>
        <v>0</v>
      </c>
      <c r="Q306" s="23"/>
      <c r="X306" s="24"/>
    </row>
    <row r="307" spans="1:24" ht="24.95" customHeight="1" x14ac:dyDescent="0.2">
      <c r="A307" s="260">
        <v>120</v>
      </c>
      <c r="B307" s="280"/>
      <c r="C307" s="27" t="s">
        <v>196</v>
      </c>
      <c r="D307" s="38" t="s">
        <v>488</v>
      </c>
      <c r="E307" s="20">
        <f t="shared" si="41"/>
        <v>97.100000000000009</v>
      </c>
      <c r="F307" s="20">
        <f t="shared" si="42"/>
        <v>96.4</v>
      </c>
      <c r="G307" s="20">
        <f>79.5+5.4+3.2</f>
        <v>88.100000000000009</v>
      </c>
      <c r="H307" s="32">
        <v>87.4</v>
      </c>
      <c r="I307" s="20">
        <f>64+3.7+3.2</f>
        <v>70.900000000000006</v>
      </c>
      <c r="J307" s="20">
        <v>70.5</v>
      </c>
      <c r="K307" s="20">
        <v>9</v>
      </c>
      <c r="L307" s="22">
        <f t="shared" si="39"/>
        <v>8.6000000000000014</v>
      </c>
      <c r="M307" s="22">
        <f>5.4+3.2</f>
        <v>8.6000000000000014</v>
      </c>
      <c r="N307" s="22">
        <f>3.7+3.2</f>
        <v>6.9</v>
      </c>
      <c r="P307" s="23">
        <f t="shared" si="40"/>
        <v>0</v>
      </c>
      <c r="Q307" s="23"/>
      <c r="X307" s="17">
        <v>9</v>
      </c>
    </row>
    <row r="308" spans="1:24" ht="12.6" customHeight="1" x14ac:dyDescent="0.2">
      <c r="A308" s="261"/>
      <c r="B308" s="280"/>
      <c r="C308" s="92" t="s">
        <v>489</v>
      </c>
      <c r="D308" s="18" t="s">
        <v>490</v>
      </c>
      <c r="E308" s="20">
        <f t="shared" si="41"/>
        <v>2.4</v>
      </c>
      <c r="F308" s="20">
        <f t="shared" si="42"/>
        <v>2.4</v>
      </c>
      <c r="G308" s="20">
        <v>2.4</v>
      </c>
      <c r="H308" s="20">
        <v>2.4</v>
      </c>
      <c r="I308" s="20">
        <v>2.4</v>
      </c>
      <c r="J308" s="20">
        <v>2.4</v>
      </c>
      <c r="K308" s="20"/>
      <c r="L308" s="22">
        <f t="shared" si="39"/>
        <v>0</v>
      </c>
      <c r="M308" s="22"/>
      <c r="N308" s="22"/>
      <c r="P308" s="23">
        <f t="shared" si="40"/>
        <v>0</v>
      </c>
      <c r="Q308" s="23"/>
      <c r="X308" s="24"/>
    </row>
    <row r="309" spans="1:24" ht="24.95" customHeight="1" x14ac:dyDescent="0.2">
      <c r="A309" s="260">
        <v>121</v>
      </c>
      <c r="B309" s="280"/>
      <c r="C309" s="27" t="s">
        <v>197</v>
      </c>
      <c r="D309" s="18" t="s">
        <v>488</v>
      </c>
      <c r="E309" s="20">
        <f t="shared" si="41"/>
        <v>80.800000000000011</v>
      </c>
      <c r="F309" s="20">
        <f t="shared" si="42"/>
        <v>80.5</v>
      </c>
      <c r="G309" s="20">
        <f>81.9-1.1</f>
        <v>80.800000000000011</v>
      </c>
      <c r="H309" s="20">
        <v>80.5</v>
      </c>
      <c r="I309" s="20">
        <f>62.5-2</f>
        <v>60.5</v>
      </c>
      <c r="J309" s="20">
        <v>60.4</v>
      </c>
      <c r="K309" s="20"/>
      <c r="L309" s="22">
        <f t="shared" si="39"/>
        <v>-1.1000000000000001</v>
      </c>
      <c r="M309" s="22">
        <v>-1.1000000000000001</v>
      </c>
      <c r="N309" s="22">
        <v>-2</v>
      </c>
      <c r="P309" s="23">
        <f t="shared" si="40"/>
        <v>0</v>
      </c>
      <c r="Q309" s="23"/>
      <c r="X309" s="24"/>
    </row>
    <row r="310" spans="1:24" ht="13.15" customHeight="1" x14ac:dyDescent="0.2">
      <c r="A310" s="261"/>
      <c r="B310" s="280"/>
      <c r="C310" s="92" t="s">
        <v>489</v>
      </c>
      <c r="D310" s="18" t="s">
        <v>490</v>
      </c>
      <c r="E310" s="20">
        <f t="shared" si="41"/>
        <v>2.4</v>
      </c>
      <c r="F310" s="20">
        <f t="shared" si="42"/>
        <v>2.4</v>
      </c>
      <c r="G310" s="20">
        <v>2.4</v>
      </c>
      <c r="H310" s="20">
        <v>2.4</v>
      </c>
      <c r="I310" s="20">
        <v>2.4</v>
      </c>
      <c r="J310" s="20">
        <v>2.4</v>
      </c>
      <c r="K310" s="20"/>
      <c r="L310" s="22">
        <f t="shared" si="39"/>
        <v>0</v>
      </c>
      <c r="M310" s="22"/>
      <c r="N310" s="22"/>
      <c r="P310" s="23">
        <f t="shared" si="40"/>
        <v>0</v>
      </c>
      <c r="Q310" s="23"/>
      <c r="X310" s="24"/>
    </row>
    <row r="311" spans="1:24" ht="24.95" customHeight="1" x14ac:dyDescent="0.2">
      <c r="A311" s="260">
        <v>122</v>
      </c>
      <c r="B311" s="280"/>
      <c r="C311" s="40" t="s">
        <v>198</v>
      </c>
      <c r="D311" s="18" t="s">
        <v>488</v>
      </c>
      <c r="E311" s="20">
        <f t="shared" si="41"/>
        <v>77.8</v>
      </c>
      <c r="F311" s="20">
        <f t="shared" si="42"/>
        <v>76.900000000000006</v>
      </c>
      <c r="G311" s="20">
        <f>72.9+0.1+3.8</f>
        <v>76.8</v>
      </c>
      <c r="H311" s="20">
        <v>75.900000000000006</v>
      </c>
      <c r="I311" s="20">
        <f>55.7+1.7+3.8</f>
        <v>61.2</v>
      </c>
      <c r="J311" s="32">
        <f>60.6+0.1</f>
        <v>60.7</v>
      </c>
      <c r="K311" s="20">
        <v>1</v>
      </c>
      <c r="L311" s="22">
        <f t="shared" si="39"/>
        <v>3.9</v>
      </c>
      <c r="M311" s="22">
        <f>0.1+3.8</f>
        <v>3.9</v>
      </c>
      <c r="N311" s="22">
        <f>1.7+3.8</f>
        <v>5.5</v>
      </c>
      <c r="P311" s="23">
        <f t="shared" si="40"/>
        <v>0</v>
      </c>
      <c r="Q311" s="23"/>
      <c r="X311" s="17">
        <v>1</v>
      </c>
    </row>
    <row r="312" spans="1:24" ht="14.45" customHeight="1" x14ac:dyDescent="0.2">
      <c r="A312" s="261"/>
      <c r="B312" s="280"/>
      <c r="C312" s="92" t="s">
        <v>489</v>
      </c>
      <c r="D312" s="18" t="s">
        <v>490</v>
      </c>
      <c r="E312" s="20">
        <f t="shared" si="41"/>
        <v>2.4</v>
      </c>
      <c r="F312" s="20">
        <f t="shared" si="42"/>
        <v>2.2999999999999998</v>
      </c>
      <c r="G312" s="20">
        <v>2.4</v>
      </c>
      <c r="H312" s="20">
        <v>2.2999999999999998</v>
      </c>
      <c r="I312" s="20">
        <v>2.4</v>
      </c>
      <c r="J312" s="20">
        <v>2.2999999999999998</v>
      </c>
      <c r="K312" s="20"/>
      <c r="L312" s="22">
        <f t="shared" si="39"/>
        <v>0</v>
      </c>
      <c r="M312" s="22"/>
      <c r="N312" s="22"/>
      <c r="P312" s="23">
        <f t="shared" si="40"/>
        <v>0</v>
      </c>
      <c r="Q312" s="23"/>
      <c r="X312" s="24"/>
    </row>
    <row r="313" spans="1:24" ht="24.95" customHeight="1" x14ac:dyDescent="0.2">
      <c r="A313" s="260">
        <v>123</v>
      </c>
      <c r="B313" s="280"/>
      <c r="C313" s="27" t="s">
        <v>199</v>
      </c>
      <c r="D313" s="18" t="s">
        <v>488</v>
      </c>
      <c r="E313" s="20">
        <f t="shared" si="41"/>
        <v>105.4</v>
      </c>
      <c r="F313" s="20">
        <f t="shared" si="42"/>
        <v>104.8</v>
      </c>
      <c r="G313" s="20">
        <f>87.8+8.2+8.4</f>
        <v>104.4</v>
      </c>
      <c r="H313" s="20">
        <v>103.8</v>
      </c>
      <c r="I313" s="20">
        <f>70.2+8.6+8.3</f>
        <v>87.1</v>
      </c>
      <c r="J313" s="20">
        <v>86.9</v>
      </c>
      <c r="K313" s="20">
        <f>1.2-0.2</f>
        <v>1</v>
      </c>
      <c r="L313" s="22">
        <f t="shared" si="39"/>
        <v>16.400000000000002</v>
      </c>
      <c r="M313" s="22">
        <f>8.2+8.4</f>
        <v>16.600000000000001</v>
      </c>
      <c r="N313" s="22">
        <f>8.6+8.3</f>
        <v>16.899999999999999</v>
      </c>
      <c r="O313" s="3">
        <v>-0.2</v>
      </c>
      <c r="P313" s="23">
        <f t="shared" si="40"/>
        <v>0</v>
      </c>
      <c r="Q313" s="23"/>
      <c r="X313" s="17">
        <v>1</v>
      </c>
    </row>
    <row r="314" spans="1:24" ht="14.45" customHeight="1" x14ac:dyDescent="0.2">
      <c r="A314" s="261"/>
      <c r="B314" s="280"/>
      <c r="C314" s="92" t="s">
        <v>489</v>
      </c>
      <c r="D314" s="18" t="s">
        <v>490</v>
      </c>
      <c r="E314" s="20">
        <f t="shared" si="41"/>
        <v>2.4</v>
      </c>
      <c r="F314" s="20">
        <f t="shared" si="42"/>
        <v>2.4</v>
      </c>
      <c r="G314" s="20">
        <v>2.4</v>
      </c>
      <c r="H314" s="20">
        <v>2.4</v>
      </c>
      <c r="I314" s="20">
        <v>2.2999999999999998</v>
      </c>
      <c r="J314" s="20">
        <v>2.2999999999999998</v>
      </c>
      <c r="K314" s="20"/>
      <c r="L314" s="22">
        <f t="shared" si="39"/>
        <v>0</v>
      </c>
      <c r="M314" s="22"/>
      <c r="N314" s="22"/>
      <c r="P314" s="23">
        <f t="shared" si="40"/>
        <v>0</v>
      </c>
      <c r="Q314" s="23"/>
      <c r="X314" s="24"/>
    </row>
    <row r="315" spans="1:24" ht="24.95" customHeight="1" x14ac:dyDescent="0.2">
      <c r="A315" s="260">
        <v>124</v>
      </c>
      <c r="B315" s="280"/>
      <c r="C315" s="27" t="s">
        <v>225</v>
      </c>
      <c r="D315" s="18" t="s">
        <v>488</v>
      </c>
      <c r="E315" s="20">
        <f t="shared" si="41"/>
        <v>97.40000000000002</v>
      </c>
      <c r="F315" s="20">
        <f t="shared" si="42"/>
        <v>95.300000000000011</v>
      </c>
      <c r="G315" s="20">
        <f>94.4+1.9+0.2</f>
        <v>96.500000000000014</v>
      </c>
      <c r="H315" s="20">
        <v>94.4</v>
      </c>
      <c r="I315" s="20">
        <f>69.7+1.9</f>
        <v>71.600000000000009</v>
      </c>
      <c r="J315" s="20">
        <v>70.599999999999994</v>
      </c>
      <c r="K315" s="20">
        <v>0.9</v>
      </c>
      <c r="L315" s="22">
        <f t="shared" si="39"/>
        <v>2.1</v>
      </c>
      <c r="M315" s="22">
        <f>1.9+0.2</f>
        <v>2.1</v>
      </c>
      <c r="N315" s="22">
        <v>1.9</v>
      </c>
      <c r="P315" s="23">
        <f t="shared" si="40"/>
        <v>0</v>
      </c>
      <c r="Q315" s="23"/>
      <c r="X315" s="24">
        <v>0.9</v>
      </c>
    </row>
    <row r="316" spans="1:24" ht="15" customHeight="1" x14ac:dyDescent="0.2">
      <c r="A316" s="261"/>
      <c r="B316" s="280"/>
      <c r="C316" s="92" t="s">
        <v>489</v>
      </c>
      <c r="D316" s="18" t="s">
        <v>490</v>
      </c>
      <c r="E316" s="20">
        <f t="shared" si="41"/>
        <v>2.4</v>
      </c>
      <c r="F316" s="20">
        <f t="shared" si="42"/>
        <v>118.8</v>
      </c>
      <c r="G316" s="20">
        <v>2.4</v>
      </c>
      <c r="H316" s="20">
        <v>118.8</v>
      </c>
      <c r="I316" s="20">
        <v>2.2999999999999998</v>
      </c>
      <c r="J316" s="20">
        <v>2.2999999999999998</v>
      </c>
      <c r="K316" s="20"/>
      <c r="L316" s="22">
        <f t="shared" si="39"/>
        <v>0</v>
      </c>
      <c r="M316" s="22"/>
      <c r="N316" s="22"/>
      <c r="P316" s="23">
        <f t="shared" si="40"/>
        <v>0</v>
      </c>
      <c r="Q316" s="23"/>
      <c r="X316" s="24"/>
    </row>
    <row r="317" spans="1:24" ht="24.95" customHeight="1" x14ac:dyDescent="0.2">
      <c r="A317" s="260">
        <v>125</v>
      </c>
      <c r="B317" s="280"/>
      <c r="C317" s="27" t="s">
        <v>201</v>
      </c>
      <c r="D317" s="18" t="s">
        <v>488</v>
      </c>
      <c r="E317" s="20">
        <f t="shared" si="41"/>
        <v>95.3</v>
      </c>
      <c r="F317" s="20">
        <f t="shared" si="42"/>
        <v>93.4</v>
      </c>
      <c r="G317" s="20">
        <f>86.6+2.3+3.9</f>
        <v>92.8</v>
      </c>
      <c r="H317" s="20">
        <v>90.9</v>
      </c>
      <c r="I317" s="20">
        <f>70+2.3-0.4</f>
        <v>71.899999999999991</v>
      </c>
      <c r="J317" s="20">
        <v>70.3</v>
      </c>
      <c r="K317" s="20">
        <f>1+1.5</f>
        <v>2.5</v>
      </c>
      <c r="L317" s="22">
        <f t="shared" si="39"/>
        <v>5.4</v>
      </c>
      <c r="M317" s="22">
        <v>3.9</v>
      </c>
      <c r="N317" s="22">
        <v>-0.4</v>
      </c>
      <c r="O317" s="3">
        <v>1.5</v>
      </c>
      <c r="P317" s="23">
        <f t="shared" si="40"/>
        <v>0</v>
      </c>
      <c r="Q317" s="23"/>
      <c r="X317" s="24">
        <v>2.5</v>
      </c>
    </row>
    <row r="318" spans="1:24" ht="12.6" customHeight="1" x14ac:dyDescent="0.2">
      <c r="A318" s="261"/>
      <c r="B318" s="280"/>
      <c r="C318" s="92" t="s">
        <v>489</v>
      </c>
      <c r="D318" s="18" t="s">
        <v>490</v>
      </c>
      <c r="E318" s="20">
        <f t="shared" si="41"/>
        <v>2.4</v>
      </c>
      <c r="F318" s="20">
        <f t="shared" si="42"/>
        <v>2.4</v>
      </c>
      <c r="G318" s="20">
        <v>2.4</v>
      </c>
      <c r="H318" s="20">
        <v>2.4</v>
      </c>
      <c r="I318" s="20">
        <v>2.4</v>
      </c>
      <c r="J318" s="20">
        <v>2.4</v>
      </c>
      <c r="K318" s="20"/>
      <c r="L318" s="22">
        <f t="shared" si="39"/>
        <v>0</v>
      </c>
      <c r="M318" s="22"/>
      <c r="N318" s="22"/>
      <c r="P318" s="23">
        <f t="shared" si="40"/>
        <v>0</v>
      </c>
      <c r="Q318" s="23"/>
      <c r="X318" s="24"/>
    </row>
    <row r="319" spans="1:24" ht="24.95" customHeight="1" x14ac:dyDescent="0.2">
      <c r="A319" s="260">
        <v>126</v>
      </c>
      <c r="B319" s="280"/>
      <c r="C319" s="27" t="s">
        <v>202</v>
      </c>
      <c r="D319" s="18" t="s">
        <v>488</v>
      </c>
      <c r="E319" s="20">
        <f t="shared" si="41"/>
        <v>125.3</v>
      </c>
      <c r="F319" s="20">
        <f t="shared" si="42"/>
        <v>118.8</v>
      </c>
      <c r="G319" s="20">
        <f>112.4+10.3+2.6</f>
        <v>125.3</v>
      </c>
      <c r="H319" s="20">
        <v>118.8</v>
      </c>
      <c r="I319" s="20">
        <f>71.1+9.2</f>
        <v>80.3</v>
      </c>
      <c r="J319" s="20">
        <v>79.5</v>
      </c>
      <c r="K319" s="20"/>
      <c r="L319" s="22">
        <f t="shared" si="39"/>
        <v>12.9</v>
      </c>
      <c r="M319" s="22">
        <f>10.3+2.6</f>
        <v>12.9</v>
      </c>
      <c r="N319" s="22">
        <v>9.1999999999999993</v>
      </c>
      <c r="P319" s="23">
        <f t="shared" si="40"/>
        <v>0</v>
      </c>
      <c r="Q319" s="23"/>
      <c r="X319" s="24"/>
    </row>
    <row r="320" spans="1:24" ht="17.45" customHeight="1" x14ac:dyDescent="0.2">
      <c r="A320" s="261"/>
      <c r="B320" s="280"/>
      <c r="C320" s="92" t="s">
        <v>489</v>
      </c>
      <c r="D320" s="18" t="s">
        <v>490</v>
      </c>
      <c r="E320" s="20">
        <f t="shared" si="41"/>
        <v>2.4</v>
      </c>
      <c r="F320" s="20">
        <f t="shared" si="42"/>
        <v>2.4</v>
      </c>
      <c r="G320" s="20">
        <v>2.4</v>
      </c>
      <c r="H320" s="20">
        <v>2.4</v>
      </c>
      <c r="I320" s="20">
        <v>2.4</v>
      </c>
      <c r="J320" s="20">
        <v>2.4</v>
      </c>
      <c r="K320" s="20"/>
      <c r="L320" s="22">
        <f t="shared" si="39"/>
        <v>0</v>
      </c>
      <c r="M320" s="22"/>
      <c r="N320" s="22"/>
      <c r="P320" s="23">
        <f t="shared" si="40"/>
        <v>0</v>
      </c>
      <c r="Q320" s="23"/>
      <c r="X320" s="24"/>
    </row>
    <row r="321" spans="1:24" ht="19.5" customHeight="1" x14ac:dyDescent="0.2">
      <c r="A321" s="13">
        <v>127</v>
      </c>
      <c r="B321" s="16"/>
      <c r="C321" s="93" t="s">
        <v>491</v>
      </c>
      <c r="D321" s="16"/>
      <c r="E321" s="234">
        <f t="shared" si="41"/>
        <v>33357.200000000004</v>
      </c>
      <c r="F321" s="52">
        <f t="shared" si="42"/>
        <v>30732.500000000007</v>
      </c>
      <c r="G321" s="234">
        <f>+G13+G65+G88+G123+G147+G170+G199+G254+G278+G282+G286</f>
        <v>29205.4</v>
      </c>
      <c r="H321" s="234">
        <f>+H13+H65+H88+H123+H147+H170+H199+H254+H278+H282+H286</f>
        <v>27485.800000000007</v>
      </c>
      <c r="I321" s="58">
        <f>+I13+I65+I88+I123+I147+I170+I199+I254+I278+I282+I286</f>
        <v>15010.999999999998</v>
      </c>
      <c r="J321" s="58">
        <f>+J13+J65+J88+J123+J147+J170+J199+J254+J278+J282+J286</f>
        <v>14810.399999999998</v>
      </c>
      <c r="K321" s="58">
        <f>+K13+K65+K88+K123+K147+K170+K199+K254+K278+K282+K286</f>
        <v>4151.8</v>
      </c>
      <c r="L321" s="58">
        <f t="shared" ref="L321:X321" si="47">+L13+L65+L88+L123+L147+L170+L199+L254+L278+L282+L286</f>
        <v>499.90000000000003</v>
      </c>
      <c r="M321" s="58">
        <f t="shared" si="47"/>
        <v>287.3</v>
      </c>
      <c r="N321" s="58">
        <f t="shared" si="47"/>
        <v>17.599999999999998</v>
      </c>
      <c r="O321" s="58">
        <f t="shared" si="47"/>
        <v>212.59999999999997</v>
      </c>
      <c r="P321" s="58">
        <f t="shared" si="47"/>
        <v>157.19999999999999</v>
      </c>
      <c r="Q321" s="58">
        <f t="shared" si="47"/>
        <v>122.5</v>
      </c>
      <c r="R321" s="58" t="e">
        <f t="shared" si="47"/>
        <v>#VALUE!</v>
      </c>
      <c r="S321" s="58">
        <f t="shared" si="47"/>
        <v>0</v>
      </c>
      <c r="T321" s="58">
        <f t="shared" si="47"/>
        <v>0</v>
      </c>
      <c r="U321" s="58">
        <f t="shared" si="47"/>
        <v>0</v>
      </c>
      <c r="V321" s="58">
        <f t="shared" si="47"/>
        <v>2.5</v>
      </c>
      <c r="W321" s="58">
        <f t="shared" si="47"/>
        <v>34.700000000000003</v>
      </c>
      <c r="X321" s="58">
        <f t="shared" si="47"/>
        <v>3246.7</v>
      </c>
    </row>
    <row r="322" spans="1:24" x14ac:dyDescent="0.2">
      <c r="C322" s="4" t="s">
        <v>492</v>
      </c>
      <c r="D322" s="95"/>
      <c r="E322" s="96"/>
      <c r="F322" s="97"/>
      <c r="G322" s="96"/>
      <c r="H322" s="96"/>
      <c r="I322" s="96"/>
      <c r="J322" s="96"/>
      <c r="K322" s="96"/>
      <c r="L322" s="22"/>
    </row>
    <row r="323" spans="1:24" x14ac:dyDescent="0.2">
      <c r="E323" s="98"/>
      <c r="F323" s="99"/>
      <c r="G323" s="98"/>
      <c r="H323" s="98"/>
      <c r="I323" s="98"/>
      <c r="J323" s="98"/>
      <c r="K323" s="98"/>
      <c r="L323" s="22"/>
    </row>
    <row r="324" spans="1:24" hidden="1" x14ac:dyDescent="0.2">
      <c r="E324" s="81">
        <f>+G324+K324</f>
        <v>32807.599999999999</v>
      </c>
      <c r="F324" s="100"/>
      <c r="G324" s="81">
        <v>28866.7</v>
      </c>
      <c r="H324" s="81"/>
      <c r="I324" s="4">
        <v>14988.5</v>
      </c>
      <c r="K324" s="4">
        <v>3940.9</v>
      </c>
    </row>
    <row r="325" spans="1:24" hidden="1" x14ac:dyDescent="0.2">
      <c r="C325" s="4" t="s">
        <v>493</v>
      </c>
      <c r="E325" s="81">
        <f>+G325+K325</f>
        <v>549.60000000000082</v>
      </c>
      <c r="F325" s="100"/>
      <c r="G325" s="81">
        <f>+G321-G324</f>
        <v>338.70000000000073</v>
      </c>
      <c r="H325" s="81"/>
      <c r="I325" s="81">
        <f>+I321-I324</f>
        <v>22.499999999998181</v>
      </c>
      <c r="J325" s="81"/>
      <c r="K325" s="81">
        <f>+K321-K324</f>
        <v>210.90000000000009</v>
      </c>
    </row>
    <row r="326" spans="1:24" hidden="1" x14ac:dyDescent="0.2">
      <c r="C326" s="4" t="s">
        <v>494</v>
      </c>
      <c r="G326" s="81"/>
      <c r="H326" s="81"/>
    </row>
    <row r="327" spans="1:24" hidden="1" x14ac:dyDescent="0.2">
      <c r="C327" s="4" t="s">
        <v>495</v>
      </c>
    </row>
    <row r="328" spans="1:24" hidden="1" x14ac:dyDescent="0.2">
      <c r="C328" s="4" t="s">
        <v>496</v>
      </c>
    </row>
    <row r="329" spans="1:24" hidden="1" x14ac:dyDescent="0.2">
      <c r="C329" s="4" t="s">
        <v>497</v>
      </c>
    </row>
    <row r="330" spans="1:24" hidden="1" x14ac:dyDescent="0.2">
      <c r="E330" s="4">
        <f>+G330+K330</f>
        <v>33201.5</v>
      </c>
      <c r="G330" s="4">
        <v>29084.400000000001</v>
      </c>
      <c r="I330" s="4">
        <v>15008.5</v>
      </c>
      <c r="K330" s="4">
        <v>4117.1000000000004</v>
      </c>
    </row>
    <row r="331" spans="1:24" hidden="1" x14ac:dyDescent="0.2">
      <c r="C331" s="1" t="s">
        <v>498</v>
      </c>
      <c r="E331" s="96">
        <f>+G331+K331</f>
        <v>155.69999999999982</v>
      </c>
      <c r="F331" s="97"/>
      <c r="G331" s="81">
        <f>+G321-G330</f>
        <v>121</v>
      </c>
      <c r="H331" s="81"/>
      <c r="I331" s="81">
        <f>+I321-I330</f>
        <v>2.499999999998181</v>
      </c>
      <c r="J331" s="81"/>
      <c r="K331" s="81">
        <f>+K321-K330</f>
        <v>34.699999999999818</v>
      </c>
    </row>
    <row r="332" spans="1:24" hidden="1" x14ac:dyDescent="0.2">
      <c r="C332" s="1" t="s">
        <v>499</v>
      </c>
    </row>
    <row r="333" spans="1:24" hidden="1" x14ac:dyDescent="0.2">
      <c r="C333" s="1" t="s">
        <v>500</v>
      </c>
    </row>
    <row r="334" spans="1:24" hidden="1" x14ac:dyDescent="0.2">
      <c r="C334" s="1" t="s">
        <v>501</v>
      </c>
    </row>
    <row r="335" spans="1:24" hidden="1" x14ac:dyDescent="0.2">
      <c r="C335" s="4">
        <f>120+29.2+4+2.5</f>
        <v>155.69999999999999</v>
      </c>
    </row>
  </sheetData>
  <mergeCells count="71">
    <mergeCell ref="A317:A318"/>
    <mergeCell ref="B317:B318"/>
    <mergeCell ref="A319:A320"/>
    <mergeCell ref="B319:B320"/>
    <mergeCell ref="A311:A312"/>
    <mergeCell ref="B311:B312"/>
    <mergeCell ref="A313:A314"/>
    <mergeCell ref="B313:B314"/>
    <mergeCell ref="A315:A316"/>
    <mergeCell ref="B315:B316"/>
    <mergeCell ref="A305:A306"/>
    <mergeCell ref="B305:B306"/>
    <mergeCell ref="A307:A308"/>
    <mergeCell ref="B307:B308"/>
    <mergeCell ref="A309:A310"/>
    <mergeCell ref="B309:B310"/>
    <mergeCell ref="A299:A300"/>
    <mergeCell ref="B299:B300"/>
    <mergeCell ref="A301:A302"/>
    <mergeCell ref="B301:B302"/>
    <mergeCell ref="A303:A304"/>
    <mergeCell ref="B303:B304"/>
    <mergeCell ref="A218:A219"/>
    <mergeCell ref="B218:B219"/>
    <mergeCell ref="D218:D219"/>
    <mergeCell ref="A89:A91"/>
    <mergeCell ref="B89:B91"/>
    <mergeCell ref="D89:D91"/>
    <mergeCell ref="A126:A131"/>
    <mergeCell ref="B126:B131"/>
    <mergeCell ref="D126:D131"/>
    <mergeCell ref="A155:A156"/>
    <mergeCell ref="B155:B156"/>
    <mergeCell ref="D155:D156"/>
    <mergeCell ref="A171:A173"/>
    <mergeCell ref="B171:B173"/>
    <mergeCell ref="A44:A45"/>
    <mergeCell ref="B44:B45"/>
    <mergeCell ref="D44:D45"/>
    <mergeCell ref="A66:A68"/>
    <mergeCell ref="B66:B68"/>
    <mergeCell ref="D67:D68"/>
    <mergeCell ref="A40:A41"/>
    <mergeCell ref="B40:B41"/>
    <mergeCell ref="D40:D41"/>
    <mergeCell ref="A42:A43"/>
    <mergeCell ref="B42:B43"/>
    <mergeCell ref="D42:D43"/>
    <mergeCell ref="A38:A39"/>
    <mergeCell ref="B38:B39"/>
    <mergeCell ref="D38:D39"/>
    <mergeCell ref="A8:A11"/>
    <mergeCell ref="B8:B11"/>
    <mergeCell ref="C8:C11"/>
    <mergeCell ref="D8:D11"/>
    <mergeCell ref="C1:X1"/>
    <mergeCell ref="C2:X2"/>
    <mergeCell ref="G10:H10"/>
    <mergeCell ref="I10:J10"/>
    <mergeCell ref="K10:K11"/>
    <mergeCell ref="X10:X11"/>
    <mergeCell ref="E8:F9"/>
    <mergeCell ref="G8:X8"/>
    <mergeCell ref="G9:J9"/>
    <mergeCell ref="K9:X9"/>
    <mergeCell ref="E10:E11"/>
    <mergeCell ref="F10:F11"/>
    <mergeCell ref="C3:K3"/>
    <mergeCell ref="A6:K6"/>
    <mergeCell ref="I7:X7"/>
    <mergeCell ref="E4:X4"/>
  </mergeCells>
  <pageMargins left="0.31496062992125984" right="0.31496062992125984" top="0.35433070866141736" bottom="0.35433070866141736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68"/>
  <sheetViews>
    <sheetView workbookViewId="0">
      <selection activeCell="W14" sqref="W14"/>
    </sheetView>
  </sheetViews>
  <sheetFormatPr defaultColWidth="9.140625" defaultRowHeight="12.75" x14ac:dyDescent="0.2"/>
  <cols>
    <col min="1" max="1" width="4.28515625" style="4" customWidth="1"/>
    <col min="2" max="2" width="4.7109375" style="2" customWidth="1"/>
    <col min="3" max="3" width="51.7109375" style="4" customWidth="1"/>
    <col min="4" max="4" width="10.28515625" style="2" customWidth="1"/>
    <col min="5" max="5" width="7.140625" style="4" customWidth="1"/>
    <col min="6" max="6" width="7.85546875" style="4" customWidth="1"/>
    <col min="7" max="7" width="7.7109375" style="4" customWidth="1"/>
    <col min="8" max="8" width="9" style="4" customWidth="1"/>
    <col min="9" max="10" width="8.28515625" style="4" customWidth="1"/>
    <col min="11" max="11" width="8.140625" style="4" customWidth="1"/>
    <col min="12" max="12" width="9" style="3" hidden="1" customWidth="1"/>
    <col min="13" max="13" width="7" style="3" hidden="1" customWidth="1"/>
    <col min="14" max="16" width="9.140625" style="3" hidden="1" customWidth="1"/>
    <col min="17" max="256" width="9.140625" style="3"/>
    <col min="257" max="257" width="4.28515625" style="3" customWidth="1"/>
    <col min="258" max="258" width="4.7109375" style="3" customWidth="1"/>
    <col min="259" max="259" width="51.7109375" style="3" customWidth="1"/>
    <col min="260" max="260" width="10.28515625" style="3" customWidth="1"/>
    <col min="261" max="261" width="7.140625" style="3" customWidth="1"/>
    <col min="262" max="262" width="7.85546875" style="3" customWidth="1"/>
    <col min="263" max="263" width="7.7109375" style="3" customWidth="1"/>
    <col min="264" max="264" width="9" style="3" customWidth="1"/>
    <col min="265" max="266" width="8.28515625" style="3" customWidth="1"/>
    <col min="267" max="267" width="8.140625" style="3" customWidth="1"/>
    <col min="268" max="272" width="0" style="3" hidden="1" customWidth="1"/>
    <col min="273" max="512" width="9.140625" style="3"/>
    <col min="513" max="513" width="4.28515625" style="3" customWidth="1"/>
    <col min="514" max="514" width="4.7109375" style="3" customWidth="1"/>
    <col min="515" max="515" width="51.7109375" style="3" customWidth="1"/>
    <col min="516" max="516" width="10.28515625" style="3" customWidth="1"/>
    <col min="517" max="517" width="7.140625" style="3" customWidth="1"/>
    <col min="518" max="518" width="7.85546875" style="3" customWidth="1"/>
    <col min="519" max="519" width="7.7109375" style="3" customWidth="1"/>
    <col min="520" max="520" width="9" style="3" customWidth="1"/>
    <col min="521" max="522" width="8.28515625" style="3" customWidth="1"/>
    <col min="523" max="523" width="8.140625" style="3" customWidth="1"/>
    <col min="524" max="528" width="0" style="3" hidden="1" customWidth="1"/>
    <col min="529" max="768" width="9.140625" style="3"/>
    <col min="769" max="769" width="4.28515625" style="3" customWidth="1"/>
    <col min="770" max="770" width="4.7109375" style="3" customWidth="1"/>
    <col min="771" max="771" width="51.7109375" style="3" customWidth="1"/>
    <col min="772" max="772" width="10.28515625" style="3" customWidth="1"/>
    <col min="773" max="773" width="7.140625" style="3" customWidth="1"/>
    <col min="774" max="774" width="7.85546875" style="3" customWidth="1"/>
    <col min="775" max="775" width="7.7109375" style="3" customWidth="1"/>
    <col min="776" max="776" width="9" style="3" customWidth="1"/>
    <col min="777" max="778" width="8.28515625" style="3" customWidth="1"/>
    <col min="779" max="779" width="8.140625" style="3" customWidth="1"/>
    <col min="780" max="784" width="0" style="3" hidden="1" customWidth="1"/>
    <col min="785" max="1024" width="9.140625" style="3"/>
    <col min="1025" max="1025" width="4.28515625" style="3" customWidth="1"/>
    <col min="1026" max="1026" width="4.7109375" style="3" customWidth="1"/>
    <col min="1027" max="1027" width="51.7109375" style="3" customWidth="1"/>
    <col min="1028" max="1028" width="10.28515625" style="3" customWidth="1"/>
    <col min="1029" max="1029" width="7.140625" style="3" customWidth="1"/>
    <col min="1030" max="1030" width="7.85546875" style="3" customWidth="1"/>
    <col min="1031" max="1031" width="7.7109375" style="3" customWidth="1"/>
    <col min="1032" max="1032" width="9" style="3" customWidth="1"/>
    <col min="1033" max="1034" width="8.28515625" style="3" customWidth="1"/>
    <col min="1035" max="1035" width="8.140625" style="3" customWidth="1"/>
    <col min="1036" max="1040" width="0" style="3" hidden="1" customWidth="1"/>
    <col min="1041" max="1280" width="9.140625" style="3"/>
    <col min="1281" max="1281" width="4.28515625" style="3" customWidth="1"/>
    <col min="1282" max="1282" width="4.7109375" style="3" customWidth="1"/>
    <col min="1283" max="1283" width="51.7109375" style="3" customWidth="1"/>
    <col min="1284" max="1284" width="10.28515625" style="3" customWidth="1"/>
    <col min="1285" max="1285" width="7.140625" style="3" customWidth="1"/>
    <col min="1286" max="1286" width="7.85546875" style="3" customWidth="1"/>
    <col min="1287" max="1287" width="7.7109375" style="3" customWidth="1"/>
    <col min="1288" max="1288" width="9" style="3" customWidth="1"/>
    <col min="1289" max="1290" width="8.28515625" style="3" customWidth="1"/>
    <col min="1291" max="1291" width="8.140625" style="3" customWidth="1"/>
    <col min="1292" max="1296" width="0" style="3" hidden="1" customWidth="1"/>
    <col min="1297" max="1536" width="9.140625" style="3"/>
    <col min="1537" max="1537" width="4.28515625" style="3" customWidth="1"/>
    <col min="1538" max="1538" width="4.7109375" style="3" customWidth="1"/>
    <col min="1539" max="1539" width="51.7109375" style="3" customWidth="1"/>
    <col min="1540" max="1540" width="10.28515625" style="3" customWidth="1"/>
    <col min="1541" max="1541" width="7.140625" style="3" customWidth="1"/>
    <col min="1542" max="1542" width="7.85546875" style="3" customWidth="1"/>
    <col min="1543" max="1543" width="7.7109375" style="3" customWidth="1"/>
    <col min="1544" max="1544" width="9" style="3" customWidth="1"/>
    <col min="1545" max="1546" width="8.28515625" style="3" customWidth="1"/>
    <col min="1547" max="1547" width="8.140625" style="3" customWidth="1"/>
    <col min="1548" max="1552" width="0" style="3" hidden="1" customWidth="1"/>
    <col min="1553" max="1792" width="9.140625" style="3"/>
    <col min="1793" max="1793" width="4.28515625" style="3" customWidth="1"/>
    <col min="1794" max="1794" width="4.7109375" style="3" customWidth="1"/>
    <col min="1795" max="1795" width="51.7109375" style="3" customWidth="1"/>
    <col min="1796" max="1796" width="10.28515625" style="3" customWidth="1"/>
    <col min="1797" max="1797" width="7.140625" style="3" customWidth="1"/>
    <col min="1798" max="1798" width="7.85546875" style="3" customWidth="1"/>
    <col min="1799" max="1799" width="7.7109375" style="3" customWidth="1"/>
    <col min="1800" max="1800" width="9" style="3" customWidth="1"/>
    <col min="1801" max="1802" width="8.28515625" style="3" customWidth="1"/>
    <col min="1803" max="1803" width="8.140625" style="3" customWidth="1"/>
    <col min="1804" max="1808" width="0" style="3" hidden="1" customWidth="1"/>
    <col min="1809" max="2048" width="9.140625" style="3"/>
    <col min="2049" max="2049" width="4.28515625" style="3" customWidth="1"/>
    <col min="2050" max="2050" width="4.7109375" style="3" customWidth="1"/>
    <col min="2051" max="2051" width="51.7109375" style="3" customWidth="1"/>
    <col min="2052" max="2052" width="10.28515625" style="3" customWidth="1"/>
    <col min="2053" max="2053" width="7.140625" style="3" customWidth="1"/>
    <col min="2054" max="2054" width="7.85546875" style="3" customWidth="1"/>
    <col min="2055" max="2055" width="7.7109375" style="3" customWidth="1"/>
    <col min="2056" max="2056" width="9" style="3" customWidth="1"/>
    <col min="2057" max="2058" width="8.28515625" style="3" customWidth="1"/>
    <col min="2059" max="2059" width="8.140625" style="3" customWidth="1"/>
    <col min="2060" max="2064" width="0" style="3" hidden="1" customWidth="1"/>
    <col min="2065" max="2304" width="9.140625" style="3"/>
    <col min="2305" max="2305" width="4.28515625" style="3" customWidth="1"/>
    <col min="2306" max="2306" width="4.7109375" style="3" customWidth="1"/>
    <col min="2307" max="2307" width="51.7109375" style="3" customWidth="1"/>
    <col min="2308" max="2308" width="10.28515625" style="3" customWidth="1"/>
    <col min="2309" max="2309" width="7.140625" style="3" customWidth="1"/>
    <col min="2310" max="2310" width="7.85546875" style="3" customWidth="1"/>
    <col min="2311" max="2311" width="7.7109375" style="3" customWidth="1"/>
    <col min="2312" max="2312" width="9" style="3" customWidth="1"/>
    <col min="2313" max="2314" width="8.28515625" style="3" customWidth="1"/>
    <col min="2315" max="2315" width="8.140625" style="3" customWidth="1"/>
    <col min="2316" max="2320" width="0" style="3" hidden="1" customWidth="1"/>
    <col min="2321" max="2560" width="9.140625" style="3"/>
    <col min="2561" max="2561" width="4.28515625" style="3" customWidth="1"/>
    <col min="2562" max="2562" width="4.7109375" style="3" customWidth="1"/>
    <col min="2563" max="2563" width="51.7109375" style="3" customWidth="1"/>
    <col min="2564" max="2564" width="10.28515625" style="3" customWidth="1"/>
    <col min="2565" max="2565" width="7.140625" style="3" customWidth="1"/>
    <col min="2566" max="2566" width="7.85546875" style="3" customWidth="1"/>
    <col min="2567" max="2567" width="7.7109375" style="3" customWidth="1"/>
    <col min="2568" max="2568" width="9" style="3" customWidth="1"/>
    <col min="2569" max="2570" width="8.28515625" style="3" customWidth="1"/>
    <col min="2571" max="2571" width="8.140625" style="3" customWidth="1"/>
    <col min="2572" max="2576" width="0" style="3" hidden="1" customWidth="1"/>
    <col min="2577" max="2816" width="9.140625" style="3"/>
    <col min="2817" max="2817" width="4.28515625" style="3" customWidth="1"/>
    <col min="2818" max="2818" width="4.7109375" style="3" customWidth="1"/>
    <col min="2819" max="2819" width="51.7109375" style="3" customWidth="1"/>
    <col min="2820" max="2820" width="10.28515625" style="3" customWidth="1"/>
    <col min="2821" max="2821" width="7.140625" style="3" customWidth="1"/>
    <col min="2822" max="2822" width="7.85546875" style="3" customWidth="1"/>
    <col min="2823" max="2823" width="7.7109375" style="3" customWidth="1"/>
    <col min="2824" max="2824" width="9" style="3" customWidth="1"/>
    <col min="2825" max="2826" width="8.28515625" style="3" customWidth="1"/>
    <col min="2827" max="2827" width="8.140625" style="3" customWidth="1"/>
    <col min="2828" max="2832" width="0" style="3" hidden="1" customWidth="1"/>
    <col min="2833" max="3072" width="9.140625" style="3"/>
    <col min="3073" max="3073" width="4.28515625" style="3" customWidth="1"/>
    <col min="3074" max="3074" width="4.7109375" style="3" customWidth="1"/>
    <col min="3075" max="3075" width="51.7109375" style="3" customWidth="1"/>
    <col min="3076" max="3076" width="10.28515625" style="3" customWidth="1"/>
    <col min="3077" max="3077" width="7.140625" style="3" customWidth="1"/>
    <col min="3078" max="3078" width="7.85546875" style="3" customWidth="1"/>
    <col min="3079" max="3079" width="7.7109375" style="3" customWidth="1"/>
    <col min="3080" max="3080" width="9" style="3" customWidth="1"/>
    <col min="3081" max="3082" width="8.28515625" style="3" customWidth="1"/>
    <col min="3083" max="3083" width="8.140625" style="3" customWidth="1"/>
    <col min="3084" max="3088" width="0" style="3" hidden="1" customWidth="1"/>
    <col min="3089" max="3328" width="9.140625" style="3"/>
    <col min="3329" max="3329" width="4.28515625" style="3" customWidth="1"/>
    <col min="3330" max="3330" width="4.7109375" style="3" customWidth="1"/>
    <col min="3331" max="3331" width="51.7109375" style="3" customWidth="1"/>
    <col min="3332" max="3332" width="10.28515625" style="3" customWidth="1"/>
    <col min="3333" max="3333" width="7.140625" style="3" customWidth="1"/>
    <col min="3334" max="3334" width="7.85546875" style="3" customWidth="1"/>
    <col min="3335" max="3335" width="7.7109375" style="3" customWidth="1"/>
    <col min="3336" max="3336" width="9" style="3" customWidth="1"/>
    <col min="3337" max="3338" width="8.28515625" style="3" customWidth="1"/>
    <col min="3339" max="3339" width="8.140625" style="3" customWidth="1"/>
    <col min="3340" max="3344" width="0" style="3" hidden="1" customWidth="1"/>
    <col min="3345" max="3584" width="9.140625" style="3"/>
    <col min="3585" max="3585" width="4.28515625" style="3" customWidth="1"/>
    <col min="3586" max="3586" width="4.7109375" style="3" customWidth="1"/>
    <col min="3587" max="3587" width="51.7109375" style="3" customWidth="1"/>
    <col min="3588" max="3588" width="10.28515625" style="3" customWidth="1"/>
    <col min="3589" max="3589" width="7.140625" style="3" customWidth="1"/>
    <col min="3590" max="3590" width="7.85546875" style="3" customWidth="1"/>
    <col min="3591" max="3591" width="7.7109375" style="3" customWidth="1"/>
    <col min="3592" max="3592" width="9" style="3" customWidth="1"/>
    <col min="3593" max="3594" width="8.28515625" style="3" customWidth="1"/>
    <col min="3595" max="3595" width="8.140625" style="3" customWidth="1"/>
    <col min="3596" max="3600" width="0" style="3" hidden="1" customWidth="1"/>
    <col min="3601" max="3840" width="9.140625" style="3"/>
    <col min="3841" max="3841" width="4.28515625" style="3" customWidth="1"/>
    <col min="3842" max="3842" width="4.7109375" style="3" customWidth="1"/>
    <col min="3843" max="3843" width="51.7109375" style="3" customWidth="1"/>
    <col min="3844" max="3844" width="10.28515625" style="3" customWidth="1"/>
    <col min="3845" max="3845" width="7.140625" style="3" customWidth="1"/>
    <col min="3846" max="3846" width="7.85546875" style="3" customWidth="1"/>
    <col min="3847" max="3847" width="7.7109375" style="3" customWidth="1"/>
    <col min="3848" max="3848" width="9" style="3" customWidth="1"/>
    <col min="3849" max="3850" width="8.28515625" style="3" customWidth="1"/>
    <col min="3851" max="3851" width="8.140625" style="3" customWidth="1"/>
    <col min="3852" max="3856" width="0" style="3" hidden="1" customWidth="1"/>
    <col min="3857" max="4096" width="9.140625" style="3"/>
    <col min="4097" max="4097" width="4.28515625" style="3" customWidth="1"/>
    <col min="4098" max="4098" width="4.7109375" style="3" customWidth="1"/>
    <col min="4099" max="4099" width="51.7109375" style="3" customWidth="1"/>
    <col min="4100" max="4100" width="10.28515625" style="3" customWidth="1"/>
    <col min="4101" max="4101" width="7.140625" style="3" customWidth="1"/>
    <col min="4102" max="4102" width="7.85546875" style="3" customWidth="1"/>
    <col min="4103" max="4103" width="7.7109375" style="3" customWidth="1"/>
    <col min="4104" max="4104" width="9" style="3" customWidth="1"/>
    <col min="4105" max="4106" width="8.28515625" style="3" customWidth="1"/>
    <col min="4107" max="4107" width="8.140625" style="3" customWidth="1"/>
    <col min="4108" max="4112" width="0" style="3" hidden="1" customWidth="1"/>
    <col min="4113" max="4352" width="9.140625" style="3"/>
    <col min="4353" max="4353" width="4.28515625" style="3" customWidth="1"/>
    <col min="4354" max="4354" width="4.7109375" style="3" customWidth="1"/>
    <col min="4355" max="4355" width="51.7109375" style="3" customWidth="1"/>
    <col min="4356" max="4356" width="10.28515625" style="3" customWidth="1"/>
    <col min="4357" max="4357" width="7.140625" style="3" customWidth="1"/>
    <col min="4358" max="4358" width="7.85546875" style="3" customWidth="1"/>
    <col min="4359" max="4359" width="7.7109375" style="3" customWidth="1"/>
    <col min="4360" max="4360" width="9" style="3" customWidth="1"/>
    <col min="4361" max="4362" width="8.28515625" style="3" customWidth="1"/>
    <col min="4363" max="4363" width="8.140625" style="3" customWidth="1"/>
    <col min="4364" max="4368" width="0" style="3" hidden="1" customWidth="1"/>
    <col min="4369" max="4608" width="9.140625" style="3"/>
    <col min="4609" max="4609" width="4.28515625" style="3" customWidth="1"/>
    <col min="4610" max="4610" width="4.7109375" style="3" customWidth="1"/>
    <col min="4611" max="4611" width="51.7109375" style="3" customWidth="1"/>
    <col min="4612" max="4612" width="10.28515625" style="3" customWidth="1"/>
    <col min="4613" max="4613" width="7.140625" style="3" customWidth="1"/>
    <col min="4614" max="4614" width="7.85546875" style="3" customWidth="1"/>
    <col min="4615" max="4615" width="7.7109375" style="3" customWidth="1"/>
    <col min="4616" max="4616" width="9" style="3" customWidth="1"/>
    <col min="4617" max="4618" width="8.28515625" style="3" customWidth="1"/>
    <col min="4619" max="4619" width="8.140625" style="3" customWidth="1"/>
    <col min="4620" max="4624" width="0" style="3" hidden="1" customWidth="1"/>
    <col min="4625" max="4864" width="9.140625" style="3"/>
    <col min="4865" max="4865" width="4.28515625" style="3" customWidth="1"/>
    <col min="4866" max="4866" width="4.7109375" style="3" customWidth="1"/>
    <col min="4867" max="4867" width="51.7109375" style="3" customWidth="1"/>
    <col min="4868" max="4868" width="10.28515625" style="3" customWidth="1"/>
    <col min="4869" max="4869" width="7.140625" style="3" customWidth="1"/>
    <col min="4870" max="4870" width="7.85546875" style="3" customWidth="1"/>
    <col min="4871" max="4871" width="7.7109375" style="3" customWidth="1"/>
    <col min="4872" max="4872" width="9" style="3" customWidth="1"/>
    <col min="4873" max="4874" width="8.28515625" style="3" customWidth="1"/>
    <col min="4875" max="4875" width="8.140625" style="3" customWidth="1"/>
    <col min="4876" max="4880" width="0" style="3" hidden="1" customWidth="1"/>
    <col min="4881" max="5120" width="9.140625" style="3"/>
    <col min="5121" max="5121" width="4.28515625" style="3" customWidth="1"/>
    <col min="5122" max="5122" width="4.7109375" style="3" customWidth="1"/>
    <col min="5123" max="5123" width="51.7109375" style="3" customWidth="1"/>
    <col min="5124" max="5124" width="10.28515625" style="3" customWidth="1"/>
    <col min="5125" max="5125" width="7.140625" style="3" customWidth="1"/>
    <col min="5126" max="5126" width="7.85546875" style="3" customWidth="1"/>
    <col min="5127" max="5127" width="7.7109375" style="3" customWidth="1"/>
    <col min="5128" max="5128" width="9" style="3" customWidth="1"/>
    <col min="5129" max="5130" width="8.28515625" style="3" customWidth="1"/>
    <col min="5131" max="5131" width="8.140625" style="3" customWidth="1"/>
    <col min="5132" max="5136" width="0" style="3" hidden="1" customWidth="1"/>
    <col min="5137" max="5376" width="9.140625" style="3"/>
    <col min="5377" max="5377" width="4.28515625" style="3" customWidth="1"/>
    <col min="5378" max="5378" width="4.7109375" style="3" customWidth="1"/>
    <col min="5379" max="5379" width="51.7109375" style="3" customWidth="1"/>
    <col min="5380" max="5380" width="10.28515625" style="3" customWidth="1"/>
    <col min="5381" max="5381" width="7.140625" style="3" customWidth="1"/>
    <col min="5382" max="5382" width="7.85546875" style="3" customWidth="1"/>
    <col min="5383" max="5383" width="7.7109375" style="3" customWidth="1"/>
    <col min="5384" max="5384" width="9" style="3" customWidth="1"/>
    <col min="5385" max="5386" width="8.28515625" style="3" customWidth="1"/>
    <col min="5387" max="5387" width="8.140625" style="3" customWidth="1"/>
    <col min="5388" max="5392" width="0" style="3" hidden="1" customWidth="1"/>
    <col min="5393" max="5632" width="9.140625" style="3"/>
    <col min="5633" max="5633" width="4.28515625" style="3" customWidth="1"/>
    <col min="5634" max="5634" width="4.7109375" style="3" customWidth="1"/>
    <col min="5635" max="5635" width="51.7109375" style="3" customWidth="1"/>
    <col min="5636" max="5636" width="10.28515625" style="3" customWidth="1"/>
    <col min="5637" max="5637" width="7.140625" style="3" customWidth="1"/>
    <col min="5638" max="5638" width="7.85546875" style="3" customWidth="1"/>
    <col min="5639" max="5639" width="7.7109375" style="3" customWidth="1"/>
    <col min="5640" max="5640" width="9" style="3" customWidth="1"/>
    <col min="5641" max="5642" width="8.28515625" style="3" customWidth="1"/>
    <col min="5643" max="5643" width="8.140625" style="3" customWidth="1"/>
    <col min="5644" max="5648" width="0" style="3" hidden="1" customWidth="1"/>
    <col min="5649" max="5888" width="9.140625" style="3"/>
    <col min="5889" max="5889" width="4.28515625" style="3" customWidth="1"/>
    <col min="5890" max="5890" width="4.7109375" style="3" customWidth="1"/>
    <col min="5891" max="5891" width="51.7109375" style="3" customWidth="1"/>
    <col min="5892" max="5892" width="10.28515625" style="3" customWidth="1"/>
    <col min="5893" max="5893" width="7.140625" style="3" customWidth="1"/>
    <col min="5894" max="5894" width="7.85546875" style="3" customWidth="1"/>
    <col min="5895" max="5895" width="7.7109375" style="3" customWidth="1"/>
    <col min="5896" max="5896" width="9" style="3" customWidth="1"/>
    <col min="5897" max="5898" width="8.28515625" style="3" customWidth="1"/>
    <col min="5899" max="5899" width="8.140625" style="3" customWidth="1"/>
    <col min="5900" max="5904" width="0" style="3" hidden="1" customWidth="1"/>
    <col min="5905" max="6144" width="9.140625" style="3"/>
    <col min="6145" max="6145" width="4.28515625" style="3" customWidth="1"/>
    <col min="6146" max="6146" width="4.7109375" style="3" customWidth="1"/>
    <col min="6147" max="6147" width="51.7109375" style="3" customWidth="1"/>
    <col min="6148" max="6148" width="10.28515625" style="3" customWidth="1"/>
    <col min="6149" max="6149" width="7.140625" style="3" customWidth="1"/>
    <col min="6150" max="6150" width="7.85546875" style="3" customWidth="1"/>
    <col min="6151" max="6151" width="7.7109375" style="3" customWidth="1"/>
    <col min="6152" max="6152" width="9" style="3" customWidth="1"/>
    <col min="6153" max="6154" width="8.28515625" style="3" customWidth="1"/>
    <col min="6155" max="6155" width="8.140625" style="3" customWidth="1"/>
    <col min="6156" max="6160" width="0" style="3" hidden="1" customWidth="1"/>
    <col min="6161" max="6400" width="9.140625" style="3"/>
    <col min="6401" max="6401" width="4.28515625" style="3" customWidth="1"/>
    <col min="6402" max="6402" width="4.7109375" style="3" customWidth="1"/>
    <col min="6403" max="6403" width="51.7109375" style="3" customWidth="1"/>
    <col min="6404" max="6404" width="10.28515625" style="3" customWidth="1"/>
    <col min="6405" max="6405" width="7.140625" style="3" customWidth="1"/>
    <col min="6406" max="6406" width="7.85546875" style="3" customWidth="1"/>
    <col min="6407" max="6407" width="7.7109375" style="3" customWidth="1"/>
    <col min="6408" max="6408" width="9" style="3" customWidth="1"/>
    <col min="6409" max="6410" width="8.28515625" style="3" customWidth="1"/>
    <col min="6411" max="6411" width="8.140625" style="3" customWidth="1"/>
    <col min="6412" max="6416" width="0" style="3" hidden="1" customWidth="1"/>
    <col min="6417" max="6656" width="9.140625" style="3"/>
    <col min="6657" max="6657" width="4.28515625" style="3" customWidth="1"/>
    <col min="6658" max="6658" width="4.7109375" style="3" customWidth="1"/>
    <col min="6659" max="6659" width="51.7109375" style="3" customWidth="1"/>
    <col min="6660" max="6660" width="10.28515625" style="3" customWidth="1"/>
    <col min="6661" max="6661" width="7.140625" style="3" customWidth="1"/>
    <col min="6662" max="6662" width="7.85546875" style="3" customWidth="1"/>
    <col min="6663" max="6663" width="7.7109375" style="3" customWidth="1"/>
    <col min="6664" max="6664" width="9" style="3" customWidth="1"/>
    <col min="6665" max="6666" width="8.28515625" style="3" customWidth="1"/>
    <col min="6667" max="6667" width="8.140625" style="3" customWidth="1"/>
    <col min="6668" max="6672" width="0" style="3" hidden="1" customWidth="1"/>
    <col min="6673" max="6912" width="9.140625" style="3"/>
    <col min="6913" max="6913" width="4.28515625" style="3" customWidth="1"/>
    <col min="6914" max="6914" width="4.7109375" style="3" customWidth="1"/>
    <col min="6915" max="6915" width="51.7109375" style="3" customWidth="1"/>
    <col min="6916" max="6916" width="10.28515625" style="3" customWidth="1"/>
    <col min="6917" max="6917" width="7.140625" style="3" customWidth="1"/>
    <col min="6918" max="6918" width="7.85546875" style="3" customWidth="1"/>
    <col min="6919" max="6919" width="7.7109375" style="3" customWidth="1"/>
    <col min="6920" max="6920" width="9" style="3" customWidth="1"/>
    <col min="6921" max="6922" width="8.28515625" style="3" customWidth="1"/>
    <col min="6923" max="6923" width="8.140625" style="3" customWidth="1"/>
    <col min="6924" max="6928" width="0" style="3" hidden="1" customWidth="1"/>
    <col min="6929" max="7168" width="9.140625" style="3"/>
    <col min="7169" max="7169" width="4.28515625" style="3" customWidth="1"/>
    <col min="7170" max="7170" width="4.7109375" style="3" customWidth="1"/>
    <col min="7171" max="7171" width="51.7109375" style="3" customWidth="1"/>
    <col min="7172" max="7172" width="10.28515625" style="3" customWidth="1"/>
    <col min="7173" max="7173" width="7.140625" style="3" customWidth="1"/>
    <col min="7174" max="7174" width="7.85546875" style="3" customWidth="1"/>
    <col min="7175" max="7175" width="7.7109375" style="3" customWidth="1"/>
    <col min="7176" max="7176" width="9" style="3" customWidth="1"/>
    <col min="7177" max="7178" width="8.28515625" style="3" customWidth="1"/>
    <col min="7179" max="7179" width="8.140625" style="3" customWidth="1"/>
    <col min="7180" max="7184" width="0" style="3" hidden="1" customWidth="1"/>
    <col min="7185" max="7424" width="9.140625" style="3"/>
    <col min="7425" max="7425" width="4.28515625" style="3" customWidth="1"/>
    <col min="7426" max="7426" width="4.7109375" style="3" customWidth="1"/>
    <col min="7427" max="7427" width="51.7109375" style="3" customWidth="1"/>
    <col min="7428" max="7428" width="10.28515625" style="3" customWidth="1"/>
    <col min="7429" max="7429" width="7.140625" style="3" customWidth="1"/>
    <col min="7430" max="7430" width="7.85546875" style="3" customWidth="1"/>
    <col min="7431" max="7431" width="7.7109375" style="3" customWidth="1"/>
    <col min="7432" max="7432" width="9" style="3" customWidth="1"/>
    <col min="7433" max="7434" width="8.28515625" style="3" customWidth="1"/>
    <col min="7435" max="7435" width="8.140625" style="3" customWidth="1"/>
    <col min="7436" max="7440" width="0" style="3" hidden="1" customWidth="1"/>
    <col min="7441" max="7680" width="9.140625" style="3"/>
    <col min="7681" max="7681" width="4.28515625" style="3" customWidth="1"/>
    <col min="7682" max="7682" width="4.7109375" style="3" customWidth="1"/>
    <col min="7683" max="7683" width="51.7109375" style="3" customWidth="1"/>
    <col min="7684" max="7684" width="10.28515625" style="3" customWidth="1"/>
    <col min="7685" max="7685" width="7.140625" style="3" customWidth="1"/>
    <col min="7686" max="7686" width="7.85546875" style="3" customWidth="1"/>
    <col min="7687" max="7687" width="7.7109375" style="3" customWidth="1"/>
    <col min="7688" max="7688" width="9" style="3" customWidth="1"/>
    <col min="7689" max="7690" width="8.28515625" style="3" customWidth="1"/>
    <col min="7691" max="7691" width="8.140625" style="3" customWidth="1"/>
    <col min="7692" max="7696" width="0" style="3" hidden="1" customWidth="1"/>
    <col min="7697" max="7936" width="9.140625" style="3"/>
    <col min="7937" max="7937" width="4.28515625" style="3" customWidth="1"/>
    <col min="7938" max="7938" width="4.7109375" style="3" customWidth="1"/>
    <col min="7939" max="7939" width="51.7109375" style="3" customWidth="1"/>
    <col min="7940" max="7940" width="10.28515625" style="3" customWidth="1"/>
    <col min="7941" max="7941" width="7.140625" style="3" customWidth="1"/>
    <col min="7942" max="7942" width="7.85546875" style="3" customWidth="1"/>
    <col min="7943" max="7943" width="7.7109375" style="3" customWidth="1"/>
    <col min="7944" max="7944" width="9" style="3" customWidth="1"/>
    <col min="7945" max="7946" width="8.28515625" style="3" customWidth="1"/>
    <col min="7947" max="7947" width="8.140625" style="3" customWidth="1"/>
    <col min="7948" max="7952" width="0" style="3" hidden="1" customWidth="1"/>
    <col min="7953" max="8192" width="9.140625" style="3"/>
    <col min="8193" max="8193" width="4.28515625" style="3" customWidth="1"/>
    <col min="8194" max="8194" width="4.7109375" style="3" customWidth="1"/>
    <col min="8195" max="8195" width="51.7109375" style="3" customWidth="1"/>
    <col min="8196" max="8196" width="10.28515625" style="3" customWidth="1"/>
    <col min="8197" max="8197" width="7.140625" style="3" customWidth="1"/>
    <col min="8198" max="8198" width="7.85546875" style="3" customWidth="1"/>
    <col min="8199" max="8199" width="7.7109375" style="3" customWidth="1"/>
    <col min="8200" max="8200" width="9" style="3" customWidth="1"/>
    <col min="8201" max="8202" width="8.28515625" style="3" customWidth="1"/>
    <col min="8203" max="8203" width="8.140625" style="3" customWidth="1"/>
    <col min="8204" max="8208" width="0" style="3" hidden="1" customWidth="1"/>
    <col min="8209" max="8448" width="9.140625" style="3"/>
    <col min="8449" max="8449" width="4.28515625" style="3" customWidth="1"/>
    <col min="8450" max="8450" width="4.7109375" style="3" customWidth="1"/>
    <col min="8451" max="8451" width="51.7109375" style="3" customWidth="1"/>
    <col min="8452" max="8452" width="10.28515625" style="3" customWidth="1"/>
    <col min="8453" max="8453" width="7.140625" style="3" customWidth="1"/>
    <col min="8454" max="8454" width="7.85546875" style="3" customWidth="1"/>
    <col min="8455" max="8455" width="7.7109375" style="3" customWidth="1"/>
    <col min="8456" max="8456" width="9" style="3" customWidth="1"/>
    <col min="8457" max="8458" width="8.28515625" style="3" customWidth="1"/>
    <col min="8459" max="8459" width="8.140625" style="3" customWidth="1"/>
    <col min="8460" max="8464" width="0" style="3" hidden="1" customWidth="1"/>
    <col min="8465" max="8704" width="9.140625" style="3"/>
    <col min="8705" max="8705" width="4.28515625" style="3" customWidth="1"/>
    <col min="8706" max="8706" width="4.7109375" style="3" customWidth="1"/>
    <col min="8707" max="8707" width="51.7109375" style="3" customWidth="1"/>
    <col min="8708" max="8708" width="10.28515625" style="3" customWidth="1"/>
    <col min="8709" max="8709" width="7.140625" style="3" customWidth="1"/>
    <col min="8710" max="8710" width="7.85546875" style="3" customWidth="1"/>
    <col min="8711" max="8711" width="7.7109375" style="3" customWidth="1"/>
    <col min="8712" max="8712" width="9" style="3" customWidth="1"/>
    <col min="8713" max="8714" width="8.28515625" style="3" customWidth="1"/>
    <col min="8715" max="8715" width="8.140625" style="3" customWidth="1"/>
    <col min="8716" max="8720" width="0" style="3" hidden="1" customWidth="1"/>
    <col min="8721" max="8960" width="9.140625" style="3"/>
    <col min="8961" max="8961" width="4.28515625" style="3" customWidth="1"/>
    <col min="8962" max="8962" width="4.7109375" style="3" customWidth="1"/>
    <col min="8963" max="8963" width="51.7109375" style="3" customWidth="1"/>
    <col min="8964" max="8964" width="10.28515625" style="3" customWidth="1"/>
    <col min="8965" max="8965" width="7.140625" style="3" customWidth="1"/>
    <col min="8966" max="8966" width="7.85546875" style="3" customWidth="1"/>
    <col min="8967" max="8967" width="7.7109375" style="3" customWidth="1"/>
    <col min="8968" max="8968" width="9" style="3" customWidth="1"/>
    <col min="8969" max="8970" width="8.28515625" style="3" customWidth="1"/>
    <col min="8971" max="8971" width="8.140625" style="3" customWidth="1"/>
    <col min="8972" max="8976" width="0" style="3" hidden="1" customWidth="1"/>
    <col min="8977" max="9216" width="9.140625" style="3"/>
    <col min="9217" max="9217" width="4.28515625" style="3" customWidth="1"/>
    <col min="9218" max="9218" width="4.7109375" style="3" customWidth="1"/>
    <col min="9219" max="9219" width="51.7109375" style="3" customWidth="1"/>
    <col min="9220" max="9220" width="10.28515625" style="3" customWidth="1"/>
    <col min="9221" max="9221" width="7.140625" style="3" customWidth="1"/>
    <col min="9222" max="9222" width="7.85546875" style="3" customWidth="1"/>
    <col min="9223" max="9223" width="7.7109375" style="3" customWidth="1"/>
    <col min="9224" max="9224" width="9" style="3" customWidth="1"/>
    <col min="9225" max="9226" width="8.28515625" style="3" customWidth="1"/>
    <col min="9227" max="9227" width="8.140625" style="3" customWidth="1"/>
    <col min="9228" max="9232" width="0" style="3" hidden="1" customWidth="1"/>
    <col min="9233" max="9472" width="9.140625" style="3"/>
    <col min="9473" max="9473" width="4.28515625" style="3" customWidth="1"/>
    <col min="9474" max="9474" width="4.7109375" style="3" customWidth="1"/>
    <col min="9475" max="9475" width="51.7109375" style="3" customWidth="1"/>
    <col min="9476" max="9476" width="10.28515625" style="3" customWidth="1"/>
    <col min="9477" max="9477" width="7.140625" style="3" customWidth="1"/>
    <col min="9478" max="9478" width="7.85546875" style="3" customWidth="1"/>
    <col min="9479" max="9479" width="7.7109375" style="3" customWidth="1"/>
    <col min="9480" max="9480" width="9" style="3" customWidth="1"/>
    <col min="9481" max="9482" width="8.28515625" style="3" customWidth="1"/>
    <col min="9483" max="9483" width="8.140625" style="3" customWidth="1"/>
    <col min="9484" max="9488" width="0" style="3" hidden="1" customWidth="1"/>
    <col min="9489" max="9728" width="9.140625" style="3"/>
    <col min="9729" max="9729" width="4.28515625" style="3" customWidth="1"/>
    <col min="9730" max="9730" width="4.7109375" style="3" customWidth="1"/>
    <col min="9731" max="9731" width="51.7109375" style="3" customWidth="1"/>
    <col min="9732" max="9732" width="10.28515625" style="3" customWidth="1"/>
    <col min="9733" max="9733" width="7.140625" style="3" customWidth="1"/>
    <col min="9734" max="9734" width="7.85546875" style="3" customWidth="1"/>
    <col min="9735" max="9735" width="7.7109375" style="3" customWidth="1"/>
    <col min="9736" max="9736" width="9" style="3" customWidth="1"/>
    <col min="9737" max="9738" width="8.28515625" style="3" customWidth="1"/>
    <col min="9739" max="9739" width="8.140625" style="3" customWidth="1"/>
    <col min="9740" max="9744" width="0" style="3" hidden="1" customWidth="1"/>
    <col min="9745" max="9984" width="9.140625" style="3"/>
    <col min="9985" max="9985" width="4.28515625" style="3" customWidth="1"/>
    <col min="9986" max="9986" width="4.7109375" style="3" customWidth="1"/>
    <col min="9987" max="9987" width="51.7109375" style="3" customWidth="1"/>
    <col min="9988" max="9988" width="10.28515625" style="3" customWidth="1"/>
    <col min="9989" max="9989" width="7.140625" style="3" customWidth="1"/>
    <col min="9990" max="9990" width="7.85546875" style="3" customWidth="1"/>
    <col min="9991" max="9991" width="7.7109375" style="3" customWidth="1"/>
    <col min="9992" max="9992" width="9" style="3" customWidth="1"/>
    <col min="9993" max="9994" width="8.28515625" style="3" customWidth="1"/>
    <col min="9995" max="9995" width="8.140625" style="3" customWidth="1"/>
    <col min="9996" max="10000" width="0" style="3" hidden="1" customWidth="1"/>
    <col min="10001" max="10240" width="9.140625" style="3"/>
    <col min="10241" max="10241" width="4.28515625" style="3" customWidth="1"/>
    <col min="10242" max="10242" width="4.7109375" style="3" customWidth="1"/>
    <col min="10243" max="10243" width="51.7109375" style="3" customWidth="1"/>
    <col min="10244" max="10244" width="10.28515625" style="3" customWidth="1"/>
    <col min="10245" max="10245" width="7.140625" style="3" customWidth="1"/>
    <col min="10246" max="10246" width="7.85546875" style="3" customWidth="1"/>
    <col min="10247" max="10247" width="7.7109375" style="3" customWidth="1"/>
    <col min="10248" max="10248" width="9" style="3" customWidth="1"/>
    <col min="10249" max="10250" width="8.28515625" style="3" customWidth="1"/>
    <col min="10251" max="10251" width="8.140625" style="3" customWidth="1"/>
    <col min="10252" max="10256" width="0" style="3" hidden="1" customWidth="1"/>
    <col min="10257" max="10496" width="9.140625" style="3"/>
    <col min="10497" max="10497" width="4.28515625" style="3" customWidth="1"/>
    <col min="10498" max="10498" width="4.7109375" style="3" customWidth="1"/>
    <col min="10499" max="10499" width="51.7109375" style="3" customWidth="1"/>
    <col min="10500" max="10500" width="10.28515625" style="3" customWidth="1"/>
    <col min="10501" max="10501" width="7.140625" style="3" customWidth="1"/>
    <col min="10502" max="10502" width="7.85546875" style="3" customWidth="1"/>
    <col min="10503" max="10503" width="7.7109375" style="3" customWidth="1"/>
    <col min="10504" max="10504" width="9" style="3" customWidth="1"/>
    <col min="10505" max="10506" width="8.28515625" style="3" customWidth="1"/>
    <col min="10507" max="10507" width="8.140625" style="3" customWidth="1"/>
    <col min="10508" max="10512" width="0" style="3" hidden="1" customWidth="1"/>
    <col min="10513" max="10752" width="9.140625" style="3"/>
    <col min="10753" max="10753" width="4.28515625" style="3" customWidth="1"/>
    <col min="10754" max="10754" width="4.7109375" style="3" customWidth="1"/>
    <col min="10755" max="10755" width="51.7109375" style="3" customWidth="1"/>
    <col min="10756" max="10756" width="10.28515625" style="3" customWidth="1"/>
    <col min="10757" max="10757" width="7.140625" style="3" customWidth="1"/>
    <col min="10758" max="10758" width="7.85546875" style="3" customWidth="1"/>
    <col min="10759" max="10759" width="7.7109375" style="3" customWidth="1"/>
    <col min="10760" max="10760" width="9" style="3" customWidth="1"/>
    <col min="10761" max="10762" width="8.28515625" style="3" customWidth="1"/>
    <col min="10763" max="10763" width="8.140625" style="3" customWidth="1"/>
    <col min="10764" max="10768" width="0" style="3" hidden="1" customWidth="1"/>
    <col min="10769" max="11008" width="9.140625" style="3"/>
    <col min="11009" max="11009" width="4.28515625" style="3" customWidth="1"/>
    <col min="11010" max="11010" width="4.7109375" style="3" customWidth="1"/>
    <col min="11011" max="11011" width="51.7109375" style="3" customWidth="1"/>
    <col min="11012" max="11012" width="10.28515625" style="3" customWidth="1"/>
    <col min="11013" max="11013" width="7.140625" style="3" customWidth="1"/>
    <col min="11014" max="11014" width="7.85546875" style="3" customWidth="1"/>
    <col min="11015" max="11015" width="7.7109375" style="3" customWidth="1"/>
    <col min="11016" max="11016" width="9" style="3" customWidth="1"/>
    <col min="11017" max="11018" width="8.28515625" style="3" customWidth="1"/>
    <col min="11019" max="11019" width="8.140625" style="3" customWidth="1"/>
    <col min="11020" max="11024" width="0" style="3" hidden="1" customWidth="1"/>
    <col min="11025" max="11264" width="9.140625" style="3"/>
    <col min="11265" max="11265" width="4.28515625" style="3" customWidth="1"/>
    <col min="11266" max="11266" width="4.7109375" style="3" customWidth="1"/>
    <col min="11267" max="11267" width="51.7109375" style="3" customWidth="1"/>
    <col min="11268" max="11268" width="10.28515625" style="3" customWidth="1"/>
    <col min="11269" max="11269" width="7.140625" style="3" customWidth="1"/>
    <col min="11270" max="11270" width="7.85546875" style="3" customWidth="1"/>
    <col min="11271" max="11271" width="7.7109375" style="3" customWidth="1"/>
    <col min="11272" max="11272" width="9" style="3" customWidth="1"/>
    <col min="11273" max="11274" width="8.28515625" style="3" customWidth="1"/>
    <col min="11275" max="11275" width="8.140625" style="3" customWidth="1"/>
    <col min="11276" max="11280" width="0" style="3" hidden="1" customWidth="1"/>
    <col min="11281" max="11520" width="9.140625" style="3"/>
    <col min="11521" max="11521" width="4.28515625" style="3" customWidth="1"/>
    <col min="11522" max="11522" width="4.7109375" style="3" customWidth="1"/>
    <col min="11523" max="11523" width="51.7109375" style="3" customWidth="1"/>
    <col min="11524" max="11524" width="10.28515625" style="3" customWidth="1"/>
    <col min="11525" max="11525" width="7.140625" style="3" customWidth="1"/>
    <col min="11526" max="11526" width="7.85546875" style="3" customWidth="1"/>
    <col min="11527" max="11527" width="7.7109375" style="3" customWidth="1"/>
    <col min="11528" max="11528" width="9" style="3" customWidth="1"/>
    <col min="11529" max="11530" width="8.28515625" style="3" customWidth="1"/>
    <col min="11531" max="11531" width="8.140625" style="3" customWidth="1"/>
    <col min="11532" max="11536" width="0" style="3" hidden="1" customWidth="1"/>
    <col min="11537" max="11776" width="9.140625" style="3"/>
    <col min="11777" max="11777" width="4.28515625" style="3" customWidth="1"/>
    <col min="11778" max="11778" width="4.7109375" style="3" customWidth="1"/>
    <col min="11779" max="11779" width="51.7109375" style="3" customWidth="1"/>
    <col min="11780" max="11780" width="10.28515625" style="3" customWidth="1"/>
    <col min="11781" max="11781" width="7.140625" style="3" customWidth="1"/>
    <col min="11782" max="11782" width="7.85546875" style="3" customWidth="1"/>
    <col min="11783" max="11783" width="7.7109375" style="3" customWidth="1"/>
    <col min="11784" max="11784" width="9" style="3" customWidth="1"/>
    <col min="11785" max="11786" width="8.28515625" style="3" customWidth="1"/>
    <col min="11787" max="11787" width="8.140625" style="3" customWidth="1"/>
    <col min="11788" max="11792" width="0" style="3" hidden="1" customWidth="1"/>
    <col min="11793" max="12032" width="9.140625" style="3"/>
    <col min="12033" max="12033" width="4.28515625" style="3" customWidth="1"/>
    <col min="12034" max="12034" width="4.7109375" style="3" customWidth="1"/>
    <col min="12035" max="12035" width="51.7109375" style="3" customWidth="1"/>
    <col min="12036" max="12036" width="10.28515625" style="3" customWidth="1"/>
    <col min="12037" max="12037" width="7.140625" style="3" customWidth="1"/>
    <col min="12038" max="12038" width="7.85546875" style="3" customWidth="1"/>
    <col min="12039" max="12039" width="7.7109375" style="3" customWidth="1"/>
    <col min="12040" max="12040" width="9" style="3" customWidth="1"/>
    <col min="12041" max="12042" width="8.28515625" style="3" customWidth="1"/>
    <col min="12043" max="12043" width="8.140625" style="3" customWidth="1"/>
    <col min="12044" max="12048" width="0" style="3" hidden="1" customWidth="1"/>
    <col min="12049" max="12288" width="9.140625" style="3"/>
    <col min="12289" max="12289" width="4.28515625" style="3" customWidth="1"/>
    <col min="12290" max="12290" width="4.7109375" style="3" customWidth="1"/>
    <col min="12291" max="12291" width="51.7109375" style="3" customWidth="1"/>
    <col min="12292" max="12292" width="10.28515625" style="3" customWidth="1"/>
    <col min="12293" max="12293" width="7.140625" style="3" customWidth="1"/>
    <col min="12294" max="12294" width="7.85546875" style="3" customWidth="1"/>
    <col min="12295" max="12295" width="7.7109375" style="3" customWidth="1"/>
    <col min="12296" max="12296" width="9" style="3" customWidth="1"/>
    <col min="12297" max="12298" width="8.28515625" style="3" customWidth="1"/>
    <col min="12299" max="12299" width="8.140625" style="3" customWidth="1"/>
    <col min="12300" max="12304" width="0" style="3" hidden="1" customWidth="1"/>
    <col min="12305" max="12544" width="9.140625" style="3"/>
    <col min="12545" max="12545" width="4.28515625" style="3" customWidth="1"/>
    <col min="12546" max="12546" width="4.7109375" style="3" customWidth="1"/>
    <col min="12547" max="12547" width="51.7109375" style="3" customWidth="1"/>
    <col min="12548" max="12548" width="10.28515625" style="3" customWidth="1"/>
    <col min="12549" max="12549" width="7.140625" style="3" customWidth="1"/>
    <col min="12550" max="12550" width="7.85546875" style="3" customWidth="1"/>
    <col min="12551" max="12551" width="7.7109375" style="3" customWidth="1"/>
    <col min="12552" max="12552" width="9" style="3" customWidth="1"/>
    <col min="12553" max="12554" width="8.28515625" style="3" customWidth="1"/>
    <col min="12555" max="12555" width="8.140625" style="3" customWidth="1"/>
    <col min="12556" max="12560" width="0" style="3" hidden="1" customWidth="1"/>
    <col min="12561" max="12800" width="9.140625" style="3"/>
    <col min="12801" max="12801" width="4.28515625" style="3" customWidth="1"/>
    <col min="12802" max="12802" width="4.7109375" style="3" customWidth="1"/>
    <col min="12803" max="12803" width="51.7109375" style="3" customWidth="1"/>
    <col min="12804" max="12804" width="10.28515625" style="3" customWidth="1"/>
    <col min="12805" max="12805" width="7.140625" style="3" customWidth="1"/>
    <col min="12806" max="12806" width="7.85546875" style="3" customWidth="1"/>
    <col min="12807" max="12807" width="7.7109375" style="3" customWidth="1"/>
    <col min="12808" max="12808" width="9" style="3" customWidth="1"/>
    <col min="12809" max="12810" width="8.28515625" style="3" customWidth="1"/>
    <col min="12811" max="12811" width="8.140625" style="3" customWidth="1"/>
    <col min="12812" max="12816" width="0" style="3" hidden="1" customWidth="1"/>
    <col min="12817" max="13056" width="9.140625" style="3"/>
    <col min="13057" max="13057" width="4.28515625" style="3" customWidth="1"/>
    <col min="13058" max="13058" width="4.7109375" style="3" customWidth="1"/>
    <col min="13059" max="13059" width="51.7109375" style="3" customWidth="1"/>
    <col min="13060" max="13060" width="10.28515625" style="3" customWidth="1"/>
    <col min="13061" max="13061" width="7.140625" style="3" customWidth="1"/>
    <col min="13062" max="13062" width="7.85546875" style="3" customWidth="1"/>
    <col min="13063" max="13063" width="7.7109375" style="3" customWidth="1"/>
    <col min="13064" max="13064" width="9" style="3" customWidth="1"/>
    <col min="13065" max="13066" width="8.28515625" style="3" customWidth="1"/>
    <col min="13067" max="13067" width="8.140625" style="3" customWidth="1"/>
    <col min="13068" max="13072" width="0" style="3" hidden="1" customWidth="1"/>
    <col min="13073" max="13312" width="9.140625" style="3"/>
    <col min="13313" max="13313" width="4.28515625" style="3" customWidth="1"/>
    <col min="13314" max="13314" width="4.7109375" style="3" customWidth="1"/>
    <col min="13315" max="13315" width="51.7109375" style="3" customWidth="1"/>
    <col min="13316" max="13316" width="10.28515625" style="3" customWidth="1"/>
    <col min="13317" max="13317" width="7.140625" style="3" customWidth="1"/>
    <col min="13318" max="13318" width="7.85546875" style="3" customWidth="1"/>
    <col min="13319" max="13319" width="7.7109375" style="3" customWidth="1"/>
    <col min="13320" max="13320" width="9" style="3" customWidth="1"/>
    <col min="13321" max="13322" width="8.28515625" style="3" customWidth="1"/>
    <col min="13323" max="13323" width="8.140625" style="3" customWidth="1"/>
    <col min="13324" max="13328" width="0" style="3" hidden="1" customWidth="1"/>
    <col min="13329" max="13568" width="9.140625" style="3"/>
    <col min="13569" max="13569" width="4.28515625" style="3" customWidth="1"/>
    <col min="13570" max="13570" width="4.7109375" style="3" customWidth="1"/>
    <col min="13571" max="13571" width="51.7109375" style="3" customWidth="1"/>
    <col min="13572" max="13572" width="10.28515625" style="3" customWidth="1"/>
    <col min="13573" max="13573" width="7.140625" style="3" customWidth="1"/>
    <col min="13574" max="13574" width="7.85546875" style="3" customWidth="1"/>
    <col min="13575" max="13575" width="7.7109375" style="3" customWidth="1"/>
    <col min="13576" max="13576" width="9" style="3" customWidth="1"/>
    <col min="13577" max="13578" width="8.28515625" style="3" customWidth="1"/>
    <col min="13579" max="13579" width="8.140625" style="3" customWidth="1"/>
    <col min="13580" max="13584" width="0" style="3" hidden="1" customWidth="1"/>
    <col min="13585" max="13824" width="9.140625" style="3"/>
    <col min="13825" max="13825" width="4.28515625" style="3" customWidth="1"/>
    <col min="13826" max="13826" width="4.7109375" style="3" customWidth="1"/>
    <col min="13827" max="13827" width="51.7109375" style="3" customWidth="1"/>
    <col min="13828" max="13828" width="10.28515625" style="3" customWidth="1"/>
    <col min="13829" max="13829" width="7.140625" style="3" customWidth="1"/>
    <col min="13830" max="13830" width="7.85546875" style="3" customWidth="1"/>
    <col min="13831" max="13831" width="7.7109375" style="3" customWidth="1"/>
    <col min="13832" max="13832" width="9" style="3" customWidth="1"/>
    <col min="13833" max="13834" width="8.28515625" style="3" customWidth="1"/>
    <col min="13835" max="13835" width="8.140625" style="3" customWidth="1"/>
    <col min="13836" max="13840" width="0" style="3" hidden="1" customWidth="1"/>
    <col min="13841" max="14080" width="9.140625" style="3"/>
    <col min="14081" max="14081" width="4.28515625" style="3" customWidth="1"/>
    <col min="14082" max="14082" width="4.7109375" style="3" customWidth="1"/>
    <col min="14083" max="14083" width="51.7109375" style="3" customWidth="1"/>
    <col min="14084" max="14084" width="10.28515625" style="3" customWidth="1"/>
    <col min="14085" max="14085" width="7.140625" style="3" customWidth="1"/>
    <col min="14086" max="14086" width="7.85546875" style="3" customWidth="1"/>
    <col min="14087" max="14087" width="7.7109375" style="3" customWidth="1"/>
    <col min="14088" max="14088" width="9" style="3" customWidth="1"/>
    <col min="14089" max="14090" width="8.28515625" style="3" customWidth="1"/>
    <col min="14091" max="14091" width="8.140625" style="3" customWidth="1"/>
    <col min="14092" max="14096" width="0" style="3" hidden="1" customWidth="1"/>
    <col min="14097" max="14336" width="9.140625" style="3"/>
    <col min="14337" max="14337" width="4.28515625" style="3" customWidth="1"/>
    <col min="14338" max="14338" width="4.7109375" style="3" customWidth="1"/>
    <col min="14339" max="14339" width="51.7109375" style="3" customWidth="1"/>
    <col min="14340" max="14340" width="10.28515625" style="3" customWidth="1"/>
    <col min="14341" max="14341" width="7.140625" style="3" customWidth="1"/>
    <col min="14342" max="14342" width="7.85546875" style="3" customWidth="1"/>
    <col min="14343" max="14343" width="7.7109375" style="3" customWidth="1"/>
    <col min="14344" max="14344" width="9" style="3" customWidth="1"/>
    <col min="14345" max="14346" width="8.28515625" style="3" customWidth="1"/>
    <col min="14347" max="14347" width="8.140625" style="3" customWidth="1"/>
    <col min="14348" max="14352" width="0" style="3" hidden="1" customWidth="1"/>
    <col min="14353" max="14592" width="9.140625" style="3"/>
    <col min="14593" max="14593" width="4.28515625" style="3" customWidth="1"/>
    <col min="14594" max="14594" width="4.7109375" style="3" customWidth="1"/>
    <col min="14595" max="14595" width="51.7109375" style="3" customWidth="1"/>
    <col min="14596" max="14596" width="10.28515625" style="3" customWidth="1"/>
    <col min="14597" max="14597" width="7.140625" style="3" customWidth="1"/>
    <col min="14598" max="14598" width="7.85546875" style="3" customWidth="1"/>
    <col min="14599" max="14599" width="7.7109375" style="3" customWidth="1"/>
    <col min="14600" max="14600" width="9" style="3" customWidth="1"/>
    <col min="14601" max="14602" width="8.28515625" style="3" customWidth="1"/>
    <col min="14603" max="14603" width="8.140625" style="3" customWidth="1"/>
    <col min="14604" max="14608" width="0" style="3" hidden="1" customWidth="1"/>
    <col min="14609" max="14848" width="9.140625" style="3"/>
    <col min="14849" max="14849" width="4.28515625" style="3" customWidth="1"/>
    <col min="14850" max="14850" width="4.7109375" style="3" customWidth="1"/>
    <col min="14851" max="14851" width="51.7109375" style="3" customWidth="1"/>
    <col min="14852" max="14852" width="10.28515625" style="3" customWidth="1"/>
    <col min="14853" max="14853" width="7.140625" style="3" customWidth="1"/>
    <col min="14854" max="14854" width="7.85546875" style="3" customWidth="1"/>
    <col min="14855" max="14855" width="7.7109375" style="3" customWidth="1"/>
    <col min="14856" max="14856" width="9" style="3" customWidth="1"/>
    <col min="14857" max="14858" width="8.28515625" style="3" customWidth="1"/>
    <col min="14859" max="14859" width="8.140625" style="3" customWidth="1"/>
    <col min="14860" max="14864" width="0" style="3" hidden="1" customWidth="1"/>
    <col min="14865" max="15104" width="9.140625" style="3"/>
    <col min="15105" max="15105" width="4.28515625" style="3" customWidth="1"/>
    <col min="15106" max="15106" width="4.7109375" style="3" customWidth="1"/>
    <col min="15107" max="15107" width="51.7109375" style="3" customWidth="1"/>
    <col min="15108" max="15108" width="10.28515625" style="3" customWidth="1"/>
    <col min="15109" max="15109" width="7.140625" style="3" customWidth="1"/>
    <col min="15110" max="15110" width="7.85546875" style="3" customWidth="1"/>
    <col min="15111" max="15111" width="7.7109375" style="3" customWidth="1"/>
    <col min="15112" max="15112" width="9" style="3" customWidth="1"/>
    <col min="15113" max="15114" width="8.28515625" style="3" customWidth="1"/>
    <col min="15115" max="15115" width="8.140625" style="3" customWidth="1"/>
    <col min="15116" max="15120" width="0" style="3" hidden="1" customWidth="1"/>
    <col min="15121" max="15360" width="9.140625" style="3"/>
    <col min="15361" max="15361" width="4.28515625" style="3" customWidth="1"/>
    <col min="15362" max="15362" width="4.7109375" style="3" customWidth="1"/>
    <col min="15363" max="15363" width="51.7109375" style="3" customWidth="1"/>
    <col min="15364" max="15364" width="10.28515625" style="3" customWidth="1"/>
    <col min="15365" max="15365" width="7.140625" style="3" customWidth="1"/>
    <col min="15366" max="15366" width="7.85546875" style="3" customWidth="1"/>
    <col min="15367" max="15367" width="7.7109375" style="3" customWidth="1"/>
    <col min="15368" max="15368" width="9" style="3" customWidth="1"/>
    <col min="15369" max="15370" width="8.28515625" style="3" customWidth="1"/>
    <col min="15371" max="15371" width="8.140625" style="3" customWidth="1"/>
    <col min="15372" max="15376" width="0" style="3" hidden="1" customWidth="1"/>
    <col min="15377" max="15616" width="9.140625" style="3"/>
    <col min="15617" max="15617" width="4.28515625" style="3" customWidth="1"/>
    <col min="15618" max="15618" width="4.7109375" style="3" customWidth="1"/>
    <col min="15619" max="15619" width="51.7109375" style="3" customWidth="1"/>
    <col min="15620" max="15620" width="10.28515625" style="3" customWidth="1"/>
    <col min="15621" max="15621" width="7.140625" style="3" customWidth="1"/>
    <col min="15622" max="15622" width="7.85546875" style="3" customWidth="1"/>
    <col min="15623" max="15623" width="7.7109375" style="3" customWidth="1"/>
    <col min="15624" max="15624" width="9" style="3" customWidth="1"/>
    <col min="15625" max="15626" width="8.28515625" style="3" customWidth="1"/>
    <col min="15627" max="15627" width="8.140625" style="3" customWidth="1"/>
    <col min="15628" max="15632" width="0" style="3" hidden="1" customWidth="1"/>
    <col min="15633" max="15872" width="9.140625" style="3"/>
    <col min="15873" max="15873" width="4.28515625" style="3" customWidth="1"/>
    <col min="15874" max="15874" width="4.7109375" style="3" customWidth="1"/>
    <col min="15875" max="15875" width="51.7109375" style="3" customWidth="1"/>
    <col min="15876" max="15876" width="10.28515625" style="3" customWidth="1"/>
    <col min="15877" max="15877" width="7.140625" style="3" customWidth="1"/>
    <col min="15878" max="15878" width="7.85546875" style="3" customWidth="1"/>
    <col min="15879" max="15879" width="7.7109375" style="3" customWidth="1"/>
    <col min="15880" max="15880" width="9" style="3" customWidth="1"/>
    <col min="15881" max="15882" width="8.28515625" style="3" customWidth="1"/>
    <col min="15883" max="15883" width="8.140625" style="3" customWidth="1"/>
    <col min="15884" max="15888" width="0" style="3" hidden="1" customWidth="1"/>
    <col min="15889" max="16128" width="9.140625" style="3"/>
    <col min="16129" max="16129" width="4.28515625" style="3" customWidth="1"/>
    <col min="16130" max="16130" width="4.7109375" style="3" customWidth="1"/>
    <col min="16131" max="16131" width="51.7109375" style="3" customWidth="1"/>
    <col min="16132" max="16132" width="10.28515625" style="3" customWidth="1"/>
    <col min="16133" max="16133" width="7.140625" style="3" customWidth="1"/>
    <col min="16134" max="16134" width="7.85546875" style="3" customWidth="1"/>
    <col min="16135" max="16135" width="7.7109375" style="3" customWidth="1"/>
    <col min="16136" max="16136" width="9" style="3" customWidth="1"/>
    <col min="16137" max="16138" width="8.28515625" style="3" customWidth="1"/>
    <col min="16139" max="16139" width="8.140625" style="3" customWidth="1"/>
    <col min="16140" max="16144" width="0" style="3" hidden="1" customWidth="1"/>
    <col min="16145" max="16384" width="9.140625" style="3"/>
  </cols>
  <sheetData>
    <row r="1" spans="1:17" ht="15" customHeight="1" x14ac:dyDescent="0.2">
      <c r="C1" s="239" t="s">
        <v>756</v>
      </c>
      <c r="D1" s="239"/>
      <c r="E1" s="239"/>
      <c r="F1" s="239"/>
      <c r="G1" s="239"/>
      <c r="H1" s="239"/>
      <c r="I1" s="239"/>
      <c r="J1" s="239"/>
      <c r="K1" s="239"/>
      <c r="L1" s="239"/>
      <c r="M1" s="239"/>
      <c r="N1" s="239"/>
      <c r="O1" s="239"/>
      <c r="P1" s="239"/>
      <c r="Q1" s="239"/>
    </row>
    <row r="2" spans="1:17" x14ac:dyDescent="0.2">
      <c r="C2" s="239" t="s">
        <v>760</v>
      </c>
      <c r="D2" s="239"/>
      <c r="E2" s="239"/>
      <c r="F2" s="239"/>
      <c r="G2" s="239"/>
      <c r="H2" s="239"/>
      <c r="I2" s="239"/>
      <c r="J2" s="239"/>
      <c r="K2" s="239"/>
      <c r="L2" s="239"/>
      <c r="M2" s="239"/>
      <c r="N2" s="239"/>
      <c r="O2" s="239"/>
      <c r="P2" s="239"/>
      <c r="Q2" s="239"/>
    </row>
    <row r="3" spans="1:17" hidden="1" x14ac:dyDescent="0.2">
      <c r="C3" s="239" t="s">
        <v>0</v>
      </c>
      <c r="D3" s="239"/>
      <c r="E3" s="239"/>
      <c r="F3" s="239"/>
      <c r="G3" s="239"/>
      <c r="H3" s="239"/>
      <c r="I3" s="239"/>
      <c r="J3" s="239"/>
      <c r="K3" s="239"/>
    </row>
    <row r="4" spans="1:17" x14ac:dyDescent="0.2">
      <c r="I4" s="259" t="s">
        <v>749</v>
      </c>
      <c r="J4" s="259"/>
      <c r="K4" s="259"/>
      <c r="L4" s="259"/>
      <c r="M4" s="259"/>
      <c r="N4" s="259"/>
      <c r="O4" s="259"/>
      <c r="P4" s="259"/>
      <c r="Q4" s="259"/>
    </row>
    <row r="5" spans="1:17" ht="31.5" customHeight="1" x14ac:dyDescent="0.2">
      <c r="A5" s="284" t="s">
        <v>503</v>
      </c>
      <c r="B5" s="284"/>
      <c r="C5" s="284"/>
      <c r="D5" s="284"/>
      <c r="E5" s="284"/>
      <c r="F5" s="284"/>
      <c r="G5" s="284"/>
      <c r="H5" s="284"/>
      <c r="I5" s="284"/>
      <c r="J5" s="284"/>
      <c r="K5" s="284"/>
    </row>
    <row r="6" spans="1:17" x14ac:dyDescent="0.2">
      <c r="J6" s="259" t="s">
        <v>3</v>
      </c>
      <c r="K6" s="259"/>
      <c r="L6" s="259"/>
      <c r="M6" s="259"/>
      <c r="N6" s="259"/>
      <c r="O6" s="259"/>
      <c r="P6" s="259"/>
      <c r="Q6" s="259"/>
    </row>
    <row r="7" spans="1:17" ht="13.15" customHeight="1" x14ac:dyDescent="0.2">
      <c r="A7" s="242" t="s">
        <v>504</v>
      </c>
      <c r="B7" s="242" t="s">
        <v>505</v>
      </c>
      <c r="C7" s="242" t="s">
        <v>6</v>
      </c>
      <c r="D7" s="242" t="s">
        <v>7</v>
      </c>
      <c r="E7" s="246" t="s">
        <v>8</v>
      </c>
      <c r="F7" s="247"/>
      <c r="G7" s="246" t="s">
        <v>9</v>
      </c>
      <c r="H7" s="256"/>
      <c r="I7" s="256"/>
      <c r="J7" s="256"/>
      <c r="K7" s="256"/>
      <c r="L7" s="256"/>
      <c r="M7" s="256"/>
      <c r="N7" s="256"/>
      <c r="O7" s="256"/>
      <c r="P7" s="256"/>
      <c r="Q7" s="247"/>
    </row>
    <row r="8" spans="1:17" ht="13.15" customHeight="1" x14ac:dyDescent="0.2">
      <c r="A8" s="264"/>
      <c r="B8" s="264"/>
      <c r="C8" s="264"/>
      <c r="D8" s="264"/>
      <c r="E8" s="248"/>
      <c r="F8" s="249"/>
      <c r="G8" s="240" t="s">
        <v>10</v>
      </c>
      <c r="H8" s="285"/>
      <c r="I8" s="285"/>
      <c r="J8" s="241"/>
      <c r="K8" s="246" t="s">
        <v>11</v>
      </c>
      <c r="L8" s="256"/>
      <c r="M8" s="256"/>
      <c r="N8" s="256"/>
      <c r="O8" s="256"/>
      <c r="P8" s="256"/>
      <c r="Q8" s="247"/>
    </row>
    <row r="9" spans="1:17" ht="24.6" customHeight="1" x14ac:dyDescent="0.2">
      <c r="A9" s="264"/>
      <c r="B9" s="264"/>
      <c r="C9" s="264"/>
      <c r="D9" s="264"/>
      <c r="E9" s="242" t="s">
        <v>12</v>
      </c>
      <c r="F9" s="242" t="s">
        <v>13</v>
      </c>
      <c r="G9" s="240" t="s">
        <v>506</v>
      </c>
      <c r="H9" s="241"/>
      <c r="I9" s="240" t="s">
        <v>14</v>
      </c>
      <c r="J9" s="241"/>
      <c r="K9" s="242" t="s">
        <v>12</v>
      </c>
      <c r="Q9" s="244" t="s">
        <v>13</v>
      </c>
    </row>
    <row r="10" spans="1:17" ht="18.600000000000001" customHeight="1" x14ac:dyDescent="0.2">
      <c r="A10" s="243"/>
      <c r="B10" s="243"/>
      <c r="C10" s="243"/>
      <c r="D10" s="243"/>
      <c r="E10" s="243"/>
      <c r="F10" s="243"/>
      <c r="G10" s="8" t="s">
        <v>12</v>
      </c>
      <c r="H10" s="8" t="s">
        <v>13</v>
      </c>
      <c r="I10" s="8" t="s">
        <v>12</v>
      </c>
      <c r="J10" s="8" t="s">
        <v>13</v>
      </c>
      <c r="K10" s="243"/>
      <c r="Q10" s="245"/>
    </row>
    <row r="11" spans="1:17" s="102" customFormat="1" ht="12" customHeight="1" x14ac:dyDescent="0.2">
      <c r="A11" s="8">
        <v>1</v>
      </c>
      <c r="B11" s="8">
        <v>2</v>
      </c>
      <c r="C11" s="8">
        <v>3</v>
      </c>
      <c r="D11" s="8">
        <v>4</v>
      </c>
      <c r="E11" s="8">
        <v>5</v>
      </c>
      <c r="F11" s="8">
        <v>6</v>
      </c>
      <c r="G11" s="8">
        <v>7</v>
      </c>
      <c r="H11" s="8">
        <v>8</v>
      </c>
      <c r="I11" s="8">
        <v>9</v>
      </c>
      <c r="J11" s="8">
        <v>10</v>
      </c>
      <c r="K11" s="8">
        <v>11</v>
      </c>
      <c r="Q11" s="230">
        <v>12</v>
      </c>
    </row>
    <row r="12" spans="1:17" ht="20.100000000000001" customHeight="1" x14ac:dyDescent="0.2">
      <c r="A12" s="13">
        <v>1</v>
      </c>
      <c r="B12" s="11" t="s">
        <v>16</v>
      </c>
      <c r="C12" s="14" t="s">
        <v>17</v>
      </c>
      <c r="D12" s="9"/>
      <c r="E12" s="58">
        <f t="shared" ref="E12:E63" si="0">+G12+K12</f>
        <v>89.300000000000011</v>
      </c>
      <c r="F12" s="58">
        <f>+H12+Q12</f>
        <v>75.7</v>
      </c>
      <c r="G12" s="58">
        <f>SUM(G13:G40)</f>
        <v>87.500000000000014</v>
      </c>
      <c r="H12" s="58">
        <f>SUM(H13:H40)</f>
        <v>74</v>
      </c>
      <c r="I12" s="58">
        <f>SUM(I13:I39)</f>
        <v>6</v>
      </c>
      <c r="J12" s="58">
        <f>SUM(J13:J39)</f>
        <v>1.4</v>
      </c>
      <c r="K12" s="58">
        <f>SUM(K13:K39)</f>
        <v>1.8</v>
      </c>
      <c r="L12" s="58">
        <f t="shared" ref="L12:Q12" si="1">SUM(L13:L39)</f>
        <v>3.7</v>
      </c>
      <c r="M12" s="58">
        <f t="shared" si="1"/>
        <v>-1.9</v>
      </c>
      <c r="N12" s="58">
        <f t="shared" si="1"/>
        <v>13.3</v>
      </c>
      <c r="O12" s="58">
        <f t="shared" si="1"/>
        <v>5.6</v>
      </c>
      <c r="P12" s="58">
        <f t="shared" si="1"/>
        <v>-15.2</v>
      </c>
      <c r="Q12" s="58">
        <f t="shared" si="1"/>
        <v>1.7000000000000002</v>
      </c>
    </row>
    <row r="13" spans="1:17" ht="12.6" customHeight="1" x14ac:dyDescent="0.2">
      <c r="A13" s="13">
        <v>2</v>
      </c>
      <c r="B13" s="11"/>
      <c r="C13" s="104" t="s">
        <v>18</v>
      </c>
      <c r="D13" s="16" t="s">
        <v>21</v>
      </c>
      <c r="E13" s="105">
        <f t="shared" si="0"/>
        <v>1.2</v>
      </c>
      <c r="F13" s="106">
        <f>+H13+Q13</f>
        <v>0.7</v>
      </c>
      <c r="G13" s="105">
        <v>1.2</v>
      </c>
      <c r="H13" s="105">
        <v>0.7</v>
      </c>
      <c r="I13" s="94"/>
      <c r="J13" s="94"/>
      <c r="K13" s="94"/>
      <c r="L13" s="22">
        <f t="shared" ref="L13:M62" si="2">+M13+O13</f>
        <v>0</v>
      </c>
      <c r="M13" s="22">
        <f t="shared" si="2"/>
        <v>0</v>
      </c>
      <c r="N13" s="22"/>
      <c r="O13" s="22"/>
      <c r="Q13" s="107"/>
    </row>
    <row r="14" spans="1:17" ht="12.6" customHeight="1" x14ac:dyDescent="0.2">
      <c r="A14" s="13">
        <v>3</v>
      </c>
      <c r="B14" s="11"/>
      <c r="C14" s="104" t="s">
        <v>20</v>
      </c>
      <c r="D14" s="16" t="s">
        <v>21</v>
      </c>
      <c r="E14" s="105">
        <f t="shared" si="0"/>
        <v>1.2</v>
      </c>
      <c r="F14" s="106">
        <f t="shared" ref="F14:F63" si="3">+H14+Q14</f>
        <v>1</v>
      </c>
      <c r="G14" s="105">
        <v>1.2</v>
      </c>
      <c r="H14" s="105">
        <v>1</v>
      </c>
      <c r="I14" s="94"/>
      <c r="J14" s="94"/>
      <c r="K14" s="94"/>
      <c r="L14" s="22">
        <f t="shared" si="2"/>
        <v>0</v>
      </c>
      <c r="M14" s="22">
        <f t="shared" si="2"/>
        <v>0</v>
      </c>
      <c r="N14" s="22"/>
      <c r="O14" s="22"/>
      <c r="Q14" s="107"/>
    </row>
    <row r="15" spans="1:17" ht="12.6" customHeight="1" x14ac:dyDescent="0.2">
      <c r="A15" s="13">
        <v>4</v>
      </c>
      <c r="B15" s="9"/>
      <c r="C15" s="104" t="s">
        <v>22</v>
      </c>
      <c r="D15" s="16" t="s">
        <v>21</v>
      </c>
      <c r="E15" s="105">
        <f t="shared" si="0"/>
        <v>1.7</v>
      </c>
      <c r="F15" s="106">
        <f t="shared" si="3"/>
        <v>1.7</v>
      </c>
      <c r="G15" s="105">
        <v>1.7</v>
      </c>
      <c r="H15" s="105">
        <v>1.7</v>
      </c>
      <c r="I15" s="105"/>
      <c r="J15" s="105"/>
      <c r="K15" s="105"/>
      <c r="L15" s="22">
        <f t="shared" si="2"/>
        <v>0</v>
      </c>
      <c r="M15" s="22">
        <f t="shared" si="2"/>
        <v>0</v>
      </c>
      <c r="N15" s="22"/>
      <c r="O15" s="22"/>
      <c r="Q15" s="107"/>
    </row>
    <row r="16" spans="1:17" ht="12.6" customHeight="1" x14ac:dyDescent="0.2">
      <c r="A16" s="13">
        <v>5</v>
      </c>
      <c r="B16" s="9"/>
      <c r="C16" s="104" t="s">
        <v>23</v>
      </c>
      <c r="D16" s="16" t="s">
        <v>21</v>
      </c>
      <c r="E16" s="105">
        <f t="shared" si="0"/>
        <v>3.1</v>
      </c>
      <c r="F16" s="106">
        <f t="shared" si="3"/>
        <v>2.7</v>
      </c>
      <c r="G16" s="105">
        <v>3.1</v>
      </c>
      <c r="H16" s="105">
        <v>2.7</v>
      </c>
      <c r="I16" s="105"/>
      <c r="J16" s="105"/>
      <c r="K16" s="105"/>
      <c r="L16" s="22">
        <f t="shared" si="2"/>
        <v>0</v>
      </c>
      <c r="M16" s="22">
        <f t="shared" si="2"/>
        <v>0</v>
      </c>
      <c r="N16" s="22"/>
      <c r="O16" s="22"/>
      <c r="Q16" s="107"/>
    </row>
    <row r="17" spans="1:17" ht="12.6" customHeight="1" x14ac:dyDescent="0.2">
      <c r="A17" s="13">
        <v>6</v>
      </c>
      <c r="B17" s="9"/>
      <c r="C17" s="104" t="s">
        <v>24</v>
      </c>
      <c r="D17" s="16" t="s">
        <v>21</v>
      </c>
      <c r="E17" s="105">
        <f t="shared" si="0"/>
        <v>2.7</v>
      </c>
      <c r="F17" s="106">
        <f t="shared" si="3"/>
        <v>1</v>
      </c>
      <c r="G17" s="105">
        <v>2.7</v>
      </c>
      <c r="H17" s="105">
        <v>1</v>
      </c>
      <c r="I17" s="94"/>
      <c r="J17" s="94"/>
      <c r="K17" s="94"/>
      <c r="L17" s="22">
        <f t="shared" si="2"/>
        <v>0</v>
      </c>
      <c r="M17" s="22">
        <f t="shared" si="2"/>
        <v>0</v>
      </c>
      <c r="N17" s="22"/>
      <c r="O17" s="22"/>
      <c r="Q17" s="107"/>
    </row>
    <row r="18" spans="1:17" ht="12.6" customHeight="1" x14ac:dyDescent="0.2">
      <c r="A18" s="13">
        <v>7</v>
      </c>
      <c r="B18" s="76"/>
      <c r="C18" s="104" t="s">
        <v>25</v>
      </c>
      <c r="D18" s="16" t="s">
        <v>21</v>
      </c>
      <c r="E18" s="105">
        <f t="shared" si="0"/>
        <v>2.1</v>
      </c>
      <c r="F18" s="106">
        <f t="shared" si="3"/>
        <v>1.4</v>
      </c>
      <c r="G18" s="105">
        <v>2.1</v>
      </c>
      <c r="H18" s="105">
        <v>1.4</v>
      </c>
      <c r="I18" s="105"/>
      <c r="J18" s="105"/>
      <c r="K18" s="105"/>
      <c r="L18" s="22">
        <f t="shared" si="2"/>
        <v>0</v>
      </c>
      <c r="M18" s="22">
        <f t="shared" si="2"/>
        <v>0</v>
      </c>
      <c r="N18" s="22"/>
      <c r="O18" s="22"/>
      <c r="Q18" s="107"/>
    </row>
    <row r="19" spans="1:17" ht="12.6" customHeight="1" x14ac:dyDescent="0.2">
      <c r="A19" s="13">
        <v>8</v>
      </c>
      <c r="B19" s="76"/>
      <c r="C19" s="104" t="s">
        <v>26</v>
      </c>
      <c r="D19" s="16" t="s">
        <v>21</v>
      </c>
      <c r="E19" s="105">
        <f t="shared" si="0"/>
        <v>1.9</v>
      </c>
      <c r="F19" s="106">
        <f t="shared" si="3"/>
        <v>1.3</v>
      </c>
      <c r="G19" s="105">
        <v>1.9</v>
      </c>
      <c r="H19" s="105">
        <v>1.3</v>
      </c>
      <c r="I19" s="105"/>
      <c r="J19" s="105"/>
      <c r="K19" s="105"/>
      <c r="L19" s="22">
        <f t="shared" si="2"/>
        <v>0</v>
      </c>
      <c r="M19" s="22">
        <f t="shared" si="2"/>
        <v>0</v>
      </c>
      <c r="N19" s="22"/>
      <c r="O19" s="22"/>
      <c r="Q19" s="107"/>
    </row>
    <row r="20" spans="1:17" ht="12.6" customHeight="1" x14ac:dyDescent="0.2">
      <c r="A20" s="13">
        <v>9</v>
      </c>
      <c r="B20" s="76"/>
      <c r="C20" s="27" t="s">
        <v>27</v>
      </c>
      <c r="D20" s="16" t="s">
        <v>28</v>
      </c>
      <c r="E20" s="105">
        <f t="shared" si="0"/>
        <v>0.2</v>
      </c>
      <c r="F20" s="106">
        <f t="shared" si="3"/>
        <v>0.1</v>
      </c>
      <c r="G20" s="105">
        <v>0.2</v>
      </c>
      <c r="H20" s="105">
        <v>0.1</v>
      </c>
      <c r="I20" s="105"/>
      <c r="J20" s="105"/>
      <c r="K20" s="105"/>
      <c r="L20" s="22">
        <f t="shared" si="2"/>
        <v>0</v>
      </c>
      <c r="M20" s="22">
        <f t="shared" si="2"/>
        <v>0</v>
      </c>
      <c r="N20" s="22"/>
      <c r="O20" s="22"/>
      <c r="Q20" s="107"/>
    </row>
    <row r="21" spans="1:17" ht="12.6" customHeight="1" x14ac:dyDescent="0.2">
      <c r="A21" s="13">
        <v>10</v>
      </c>
      <c r="B21" s="76"/>
      <c r="C21" s="104" t="s">
        <v>29</v>
      </c>
      <c r="D21" s="16" t="s">
        <v>30</v>
      </c>
      <c r="E21" s="105">
        <f t="shared" si="0"/>
        <v>8</v>
      </c>
      <c r="F21" s="106">
        <f t="shared" si="3"/>
        <v>7</v>
      </c>
      <c r="G21" s="105">
        <f>3+5</f>
        <v>8</v>
      </c>
      <c r="H21" s="105">
        <v>7</v>
      </c>
      <c r="I21" s="105"/>
      <c r="J21" s="105"/>
      <c r="K21" s="105">
        <f>5-5</f>
        <v>0</v>
      </c>
      <c r="L21" s="22">
        <f t="shared" si="2"/>
        <v>0</v>
      </c>
      <c r="M21" s="22">
        <f t="shared" si="2"/>
        <v>0</v>
      </c>
      <c r="N21" s="22">
        <v>5</v>
      </c>
      <c r="O21" s="22"/>
      <c r="P21" s="3">
        <v>-5</v>
      </c>
      <c r="Q21" s="108">
        <v>0</v>
      </c>
    </row>
    <row r="22" spans="1:17" ht="12.6" customHeight="1" x14ac:dyDescent="0.2">
      <c r="A22" s="13">
        <v>11</v>
      </c>
      <c r="B22" s="76"/>
      <c r="C22" s="104" t="s">
        <v>31</v>
      </c>
      <c r="D22" s="16" t="s">
        <v>30</v>
      </c>
      <c r="E22" s="105">
        <f t="shared" si="0"/>
        <v>0.30000000000000004</v>
      </c>
      <c r="F22" s="106">
        <f t="shared" si="3"/>
        <v>0.1</v>
      </c>
      <c r="G22" s="105">
        <f>1-0.7</f>
        <v>0.30000000000000004</v>
      </c>
      <c r="H22" s="105">
        <v>0.1</v>
      </c>
      <c r="I22" s="105"/>
      <c r="J22" s="105"/>
      <c r="K22" s="105"/>
      <c r="L22" s="22">
        <f t="shared" si="2"/>
        <v>-0.7</v>
      </c>
      <c r="M22" s="22">
        <f t="shared" si="2"/>
        <v>-0.7</v>
      </c>
      <c r="N22" s="22">
        <v>-0.7</v>
      </c>
      <c r="O22" s="22"/>
      <c r="Q22" s="107"/>
    </row>
    <row r="23" spans="1:17" ht="12.6" customHeight="1" x14ac:dyDescent="0.2">
      <c r="A23" s="13">
        <v>12</v>
      </c>
      <c r="B23" s="76"/>
      <c r="C23" s="109" t="s">
        <v>33</v>
      </c>
      <c r="D23" s="16" t="s">
        <v>30</v>
      </c>
      <c r="E23" s="105">
        <f t="shared" si="0"/>
        <v>1</v>
      </c>
      <c r="F23" s="106">
        <f t="shared" si="3"/>
        <v>1</v>
      </c>
      <c r="G23" s="105">
        <f>1.2-0.2</f>
        <v>1</v>
      </c>
      <c r="H23" s="105">
        <v>1</v>
      </c>
      <c r="I23" s="105"/>
      <c r="J23" s="105"/>
      <c r="K23" s="105"/>
      <c r="L23" s="22">
        <f t="shared" si="2"/>
        <v>-0.2</v>
      </c>
      <c r="M23" s="22">
        <f t="shared" si="2"/>
        <v>-0.2</v>
      </c>
      <c r="N23" s="22">
        <v>-0.2</v>
      </c>
      <c r="O23" s="22"/>
      <c r="Q23" s="107"/>
    </row>
    <row r="24" spans="1:17" ht="12.6" customHeight="1" x14ac:dyDescent="0.2">
      <c r="A24" s="13">
        <v>13</v>
      </c>
      <c r="B24" s="76"/>
      <c r="C24" s="109" t="s">
        <v>34</v>
      </c>
      <c r="D24" s="16" t="s">
        <v>30</v>
      </c>
      <c r="E24" s="105">
        <f t="shared" si="0"/>
        <v>0.3</v>
      </c>
      <c r="F24" s="106">
        <f t="shared" si="3"/>
        <v>0.3</v>
      </c>
      <c r="G24" s="105">
        <f>0.5-0.2</f>
        <v>0.3</v>
      </c>
      <c r="H24" s="105">
        <v>0.3</v>
      </c>
      <c r="I24" s="105"/>
      <c r="J24" s="105"/>
      <c r="K24" s="105"/>
      <c r="L24" s="22">
        <f t="shared" si="2"/>
        <v>-0.2</v>
      </c>
      <c r="M24" s="22">
        <f t="shared" si="2"/>
        <v>-0.2</v>
      </c>
      <c r="N24" s="22">
        <v>-0.2</v>
      </c>
      <c r="O24" s="22"/>
      <c r="Q24" s="107"/>
    </row>
    <row r="25" spans="1:17" ht="12.6" customHeight="1" x14ac:dyDescent="0.2">
      <c r="A25" s="13">
        <v>14</v>
      </c>
      <c r="B25" s="76"/>
      <c r="C25" s="109" t="s">
        <v>35</v>
      </c>
      <c r="D25" s="16" t="s">
        <v>30</v>
      </c>
      <c r="E25" s="105">
        <f t="shared" si="0"/>
        <v>0.2</v>
      </c>
      <c r="F25" s="106">
        <f t="shared" si="3"/>
        <v>0</v>
      </c>
      <c r="G25" s="105">
        <v>0.2</v>
      </c>
      <c r="H25" s="105">
        <v>0</v>
      </c>
      <c r="I25" s="105"/>
      <c r="J25" s="105"/>
      <c r="K25" s="105"/>
      <c r="L25" s="22">
        <f t="shared" si="2"/>
        <v>0</v>
      </c>
      <c r="M25" s="22">
        <f t="shared" si="2"/>
        <v>0</v>
      </c>
      <c r="N25" s="22"/>
      <c r="O25" s="22"/>
      <c r="Q25" s="107"/>
    </row>
    <row r="26" spans="1:17" ht="12.6" customHeight="1" x14ac:dyDescent="0.2">
      <c r="A26" s="13">
        <v>15</v>
      </c>
      <c r="B26" s="76"/>
      <c r="C26" s="104" t="s">
        <v>36</v>
      </c>
      <c r="D26" s="16" t="s">
        <v>30</v>
      </c>
      <c r="E26" s="105">
        <f t="shared" si="0"/>
        <v>0.2</v>
      </c>
      <c r="F26" s="106">
        <f t="shared" si="3"/>
        <v>0</v>
      </c>
      <c r="G26" s="105">
        <f>0.5-0.3</f>
        <v>0.2</v>
      </c>
      <c r="H26" s="105">
        <v>0</v>
      </c>
      <c r="I26" s="105"/>
      <c r="J26" s="105"/>
      <c r="K26" s="105"/>
      <c r="L26" s="22">
        <f t="shared" si="2"/>
        <v>-0.3</v>
      </c>
      <c r="M26" s="22">
        <f t="shared" si="2"/>
        <v>-0.3</v>
      </c>
      <c r="N26" s="22">
        <v>-0.3</v>
      </c>
      <c r="O26" s="22"/>
      <c r="Q26" s="107"/>
    </row>
    <row r="27" spans="1:17" ht="12.6" customHeight="1" x14ac:dyDescent="0.2">
      <c r="A27" s="13">
        <v>16</v>
      </c>
      <c r="B27" s="76"/>
      <c r="C27" s="109" t="s">
        <v>37</v>
      </c>
      <c r="D27" s="18" t="s">
        <v>507</v>
      </c>
      <c r="E27" s="105">
        <f t="shared" si="0"/>
        <v>2.7</v>
      </c>
      <c r="F27" s="106">
        <f t="shared" si="3"/>
        <v>1.6</v>
      </c>
      <c r="G27" s="105">
        <v>2.7</v>
      </c>
      <c r="H27" s="105">
        <v>1.6</v>
      </c>
      <c r="I27" s="105"/>
      <c r="J27" s="105"/>
      <c r="K27" s="105"/>
      <c r="L27" s="22">
        <f t="shared" si="2"/>
        <v>0</v>
      </c>
      <c r="M27" s="22">
        <f t="shared" si="2"/>
        <v>0</v>
      </c>
      <c r="N27" s="22"/>
      <c r="O27" s="22"/>
      <c r="Q27" s="107"/>
    </row>
    <row r="28" spans="1:17" ht="12.6" customHeight="1" x14ac:dyDescent="0.2">
      <c r="A28" s="13">
        <v>17</v>
      </c>
      <c r="B28" s="76"/>
      <c r="C28" s="104" t="s">
        <v>508</v>
      </c>
      <c r="D28" s="18" t="s">
        <v>507</v>
      </c>
      <c r="E28" s="105">
        <f t="shared" si="0"/>
        <v>0.1</v>
      </c>
      <c r="F28" s="106">
        <f t="shared" si="3"/>
        <v>0.1</v>
      </c>
      <c r="G28" s="105">
        <v>0.1</v>
      </c>
      <c r="H28" s="228">
        <f>0+0.1</f>
        <v>0.1</v>
      </c>
      <c r="I28" s="105"/>
      <c r="J28" s="105"/>
      <c r="K28" s="105"/>
      <c r="L28" s="22">
        <f t="shared" si="2"/>
        <v>0</v>
      </c>
      <c r="M28" s="22">
        <f t="shared" si="2"/>
        <v>0</v>
      </c>
      <c r="N28" s="22"/>
      <c r="O28" s="22"/>
      <c r="Q28" s="107"/>
    </row>
    <row r="29" spans="1:17" ht="12.6" customHeight="1" x14ac:dyDescent="0.2">
      <c r="A29" s="13">
        <v>18</v>
      </c>
      <c r="B29" s="76"/>
      <c r="C29" s="109" t="s">
        <v>40</v>
      </c>
      <c r="D29" s="18" t="s">
        <v>507</v>
      </c>
      <c r="E29" s="105">
        <f t="shared" si="0"/>
        <v>4.5</v>
      </c>
      <c r="F29" s="106">
        <f t="shared" si="3"/>
        <v>4.5</v>
      </c>
      <c r="G29" s="105">
        <f>3+0.7</f>
        <v>3.7</v>
      </c>
      <c r="H29" s="105">
        <v>3.7</v>
      </c>
      <c r="I29" s="105"/>
      <c r="J29" s="105"/>
      <c r="K29" s="105">
        <f>1-0.2</f>
        <v>0.8</v>
      </c>
      <c r="L29" s="22">
        <f t="shared" si="2"/>
        <v>0.49999999999999994</v>
      </c>
      <c r="M29" s="22">
        <f t="shared" si="2"/>
        <v>0.49999999999999994</v>
      </c>
      <c r="N29" s="22">
        <v>0.7</v>
      </c>
      <c r="O29" s="22"/>
      <c r="P29" s="3">
        <v>-0.2</v>
      </c>
      <c r="Q29" s="107">
        <v>0.8</v>
      </c>
    </row>
    <row r="30" spans="1:17" ht="12.6" customHeight="1" x14ac:dyDescent="0.2">
      <c r="A30" s="13">
        <v>19</v>
      </c>
      <c r="B30" s="76"/>
      <c r="C30" s="109" t="s">
        <v>41</v>
      </c>
      <c r="D30" s="18" t="s">
        <v>507</v>
      </c>
      <c r="E30" s="105">
        <f t="shared" si="0"/>
        <v>0.3</v>
      </c>
      <c r="F30" s="106">
        <f t="shared" si="3"/>
        <v>0.2</v>
      </c>
      <c r="G30" s="105">
        <v>0.3</v>
      </c>
      <c r="H30" s="105">
        <v>0.2</v>
      </c>
      <c r="I30" s="105"/>
      <c r="J30" s="105"/>
      <c r="K30" s="105"/>
      <c r="L30" s="22">
        <f t="shared" si="2"/>
        <v>0</v>
      </c>
      <c r="M30" s="22">
        <f t="shared" si="2"/>
        <v>0</v>
      </c>
      <c r="N30" s="22"/>
      <c r="O30" s="22"/>
      <c r="Q30" s="107"/>
    </row>
    <row r="31" spans="1:17" ht="12.6" customHeight="1" x14ac:dyDescent="0.2">
      <c r="A31" s="13">
        <v>20</v>
      </c>
      <c r="B31" s="76"/>
      <c r="C31" s="109" t="s">
        <v>42</v>
      </c>
      <c r="D31" s="18" t="s">
        <v>507</v>
      </c>
      <c r="E31" s="105">
        <f t="shared" si="0"/>
        <v>1.4</v>
      </c>
      <c r="F31" s="106">
        <f t="shared" si="3"/>
        <v>0.7</v>
      </c>
      <c r="G31" s="105">
        <v>1.4</v>
      </c>
      <c r="H31" s="105">
        <v>0.7</v>
      </c>
      <c r="I31" s="105">
        <f>0.4-0.4</f>
        <v>0</v>
      </c>
      <c r="J31" s="105">
        <v>0</v>
      </c>
      <c r="K31" s="105"/>
      <c r="L31" s="22">
        <f t="shared" si="2"/>
        <v>-0.4</v>
      </c>
      <c r="M31" s="22">
        <f t="shared" si="2"/>
        <v>0</v>
      </c>
      <c r="N31" s="22"/>
      <c r="O31" s="22">
        <v>-0.4</v>
      </c>
      <c r="Q31" s="107"/>
    </row>
    <row r="32" spans="1:17" ht="12.6" customHeight="1" x14ac:dyDescent="0.2">
      <c r="A32" s="13">
        <v>21</v>
      </c>
      <c r="B32" s="76"/>
      <c r="C32" s="27" t="s">
        <v>509</v>
      </c>
      <c r="D32" s="18" t="s">
        <v>507</v>
      </c>
      <c r="E32" s="105">
        <f t="shared" si="0"/>
        <v>0.1</v>
      </c>
      <c r="F32" s="106">
        <f t="shared" si="3"/>
        <v>0.1</v>
      </c>
      <c r="G32" s="105">
        <v>0.1</v>
      </c>
      <c r="H32" s="228">
        <f>0+0.1</f>
        <v>0.1</v>
      </c>
      <c r="I32" s="105"/>
      <c r="J32" s="105"/>
      <c r="K32" s="105"/>
      <c r="L32" s="22">
        <f t="shared" si="2"/>
        <v>0</v>
      </c>
      <c r="M32" s="22">
        <f t="shared" si="2"/>
        <v>0</v>
      </c>
      <c r="N32" s="22"/>
      <c r="O32" s="22"/>
      <c r="Q32" s="107"/>
    </row>
    <row r="33" spans="1:17" ht="12.6" customHeight="1" x14ac:dyDescent="0.2">
      <c r="A33" s="13">
        <v>22</v>
      </c>
      <c r="B33" s="76"/>
      <c r="C33" s="27" t="s">
        <v>44</v>
      </c>
      <c r="D33" s="18" t="s">
        <v>507</v>
      </c>
      <c r="E33" s="105">
        <f t="shared" si="0"/>
        <v>0.1</v>
      </c>
      <c r="F33" s="106">
        <f t="shared" si="3"/>
        <v>0</v>
      </c>
      <c r="G33" s="105">
        <v>0.1</v>
      </c>
      <c r="H33" s="105">
        <v>0</v>
      </c>
      <c r="I33" s="105"/>
      <c r="J33" s="105"/>
      <c r="K33" s="105"/>
      <c r="L33" s="22">
        <f t="shared" si="2"/>
        <v>0</v>
      </c>
      <c r="M33" s="22">
        <f t="shared" si="2"/>
        <v>0</v>
      </c>
      <c r="N33" s="22"/>
      <c r="O33" s="22"/>
      <c r="Q33" s="107"/>
    </row>
    <row r="34" spans="1:17" ht="12.6" customHeight="1" x14ac:dyDescent="0.2">
      <c r="A34" s="13">
        <v>23</v>
      </c>
      <c r="B34" s="76"/>
      <c r="C34" s="27" t="s">
        <v>45</v>
      </c>
      <c r="D34" s="18" t="s">
        <v>507</v>
      </c>
      <c r="E34" s="105">
        <f t="shared" si="0"/>
        <v>0.1</v>
      </c>
      <c r="F34" s="106">
        <f t="shared" si="3"/>
        <v>0</v>
      </c>
      <c r="G34" s="105">
        <v>0.1</v>
      </c>
      <c r="H34" s="105">
        <v>0</v>
      </c>
      <c r="I34" s="105"/>
      <c r="J34" s="105"/>
      <c r="K34" s="105"/>
      <c r="L34" s="22">
        <f t="shared" si="2"/>
        <v>0</v>
      </c>
      <c r="M34" s="22">
        <f t="shared" si="2"/>
        <v>0</v>
      </c>
      <c r="N34" s="22"/>
      <c r="O34" s="22"/>
      <c r="Q34" s="107"/>
    </row>
    <row r="35" spans="1:17" ht="12.6" customHeight="1" x14ac:dyDescent="0.2">
      <c r="A35" s="13">
        <v>24</v>
      </c>
      <c r="B35" s="76"/>
      <c r="C35" s="109" t="s">
        <v>46</v>
      </c>
      <c r="D35" s="16" t="s">
        <v>30</v>
      </c>
      <c r="E35" s="105">
        <f t="shared" si="0"/>
        <v>0.2</v>
      </c>
      <c r="F35" s="106">
        <f t="shared" si="3"/>
        <v>0</v>
      </c>
      <c r="G35" s="105">
        <v>0.2</v>
      </c>
      <c r="H35" s="105">
        <v>0</v>
      </c>
      <c r="I35" s="105"/>
      <c r="J35" s="105"/>
      <c r="K35" s="105"/>
      <c r="L35" s="22">
        <f t="shared" si="2"/>
        <v>0</v>
      </c>
      <c r="M35" s="22">
        <f t="shared" si="2"/>
        <v>0</v>
      </c>
      <c r="N35" s="22"/>
      <c r="O35" s="22"/>
      <c r="Q35" s="107"/>
    </row>
    <row r="36" spans="1:17" ht="12.6" customHeight="1" x14ac:dyDescent="0.2">
      <c r="A36" s="13">
        <v>25</v>
      </c>
      <c r="B36" s="76"/>
      <c r="C36" s="110" t="s">
        <v>52</v>
      </c>
      <c r="D36" s="16" t="s">
        <v>50</v>
      </c>
      <c r="E36" s="105">
        <f t="shared" si="0"/>
        <v>0.2</v>
      </c>
      <c r="F36" s="106">
        <f t="shared" si="3"/>
        <v>0.2</v>
      </c>
      <c r="G36" s="105">
        <v>0.2</v>
      </c>
      <c r="H36" s="105">
        <v>0.2</v>
      </c>
      <c r="I36" s="105"/>
      <c r="J36" s="105"/>
      <c r="K36" s="105"/>
      <c r="L36" s="22">
        <f t="shared" si="2"/>
        <v>0</v>
      </c>
      <c r="M36" s="22">
        <f t="shared" si="2"/>
        <v>0</v>
      </c>
      <c r="N36" s="22"/>
      <c r="O36" s="22"/>
      <c r="Q36" s="107"/>
    </row>
    <row r="37" spans="1:17" ht="12.6" customHeight="1" x14ac:dyDescent="0.2">
      <c r="A37" s="13">
        <v>26</v>
      </c>
      <c r="B37" s="76"/>
      <c r="C37" s="104" t="s">
        <v>53</v>
      </c>
      <c r="D37" s="16" t="s">
        <v>50</v>
      </c>
      <c r="E37" s="105">
        <f t="shared" si="0"/>
        <v>5.2</v>
      </c>
      <c r="F37" s="106">
        <f t="shared" si="3"/>
        <v>4.5</v>
      </c>
      <c r="G37" s="105">
        <f>3.5+0.7</f>
        <v>4.2</v>
      </c>
      <c r="H37" s="105">
        <v>3.6</v>
      </c>
      <c r="I37" s="105"/>
      <c r="J37" s="105"/>
      <c r="K37" s="105">
        <v>1</v>
      </c>
      <c r="L37" s="22">
        <f t="shared" si="2"/>
        <v>0.7</v>
      </c>
      <c r="M37" s="22">
        <f t="shared" si="2"/>
        <v>0.7</v>
      </c>
      <c r="N37" s="22">
        <v>0.7</v>
      </c>
      <c r="O37" s="22"/>
      <c r="Q37" s="107">
        <v>0.9</v>
      </c>
    </row>
    <row r="38" spans="1:17" ht="12.6" customHeight="1" x14ac:dyDescent="0.2">
      <c r="A38" s="13">
        <v>27</v>
      </c>
      <c r="B38" s="76"/>
      <c r="C38" s="104" t="s">
        <v>54</v>
      </c>
      <c r="D38" s="16" t="s">
        <v>50</v>
      </c>
      <c r="E38" s="105">
        <f t="shared" si="0"/>
        <v>49.2</v>
      </c>
      <c r="F38" s="106">
        <f t="shared" si="3"/>
        <v>44.5</v>
      </c>
      <c r="G38" s="105">
        <f>39.2+10</f>
        <v>49.2</v>
      </c>
      <c r="H38" s="105">
        <v>44.5</v>
      </c>
      <c r="I38" s="105">
        <v>6</v>
      </c>
      <c r="J38" s="105">
        <v>1.4</v>
      </c>
      <c r="K38" s="105">
        <f>10-10</f>
        <v>0</v>
      </c>
      <c r="L38" s="22">
        <f t="shared" si="2"/>
        <v>6</v>
      </c>
      <c r="M38" s="22">
        <f t="shared" si="2"/>
        <v>0</v>
      </c>
      <c r="N38" s="22">
        <v>10</v>
      </c>
      <c r="O38" s="22">
        <v>6</v>
      </c>
      <c r="P38" s="3">
        <v>-10</v>
      </c>
      <c r="Q38" s="108">
        <v>0</v>
      </c>
    </row>
    <row r="39" spans="1:17" ht="12.6" customHeight="1" x14ac:dyDescent="0.2">
      <c r="A39" s="13">
        <v>28</v>
      </c>
      <c r="B39" s="76"/>
      <c r="C39" s="17" t="s">
        <v>510</v>
      </c>
      <c r="D39" s="16" t="s">
        <v>511</v>
      </c>
      <c r="E39" s="105">
        <f t="shared" si="0"/>
        <v>0.90000000000000013</v>
      </c>
      <c r="F39" s="106">
        <f t="shared" si="3"/>
        <v>0.9</v>
      </c>
      <c r="G39" s="105">
        <f>0.6+2-1.7</f>
        <v>0.90000000000000013</v>
      </c>
      <c r="H39" s="105">
        <v>0.9</v>
      </c>
      <c r="I39" s="105"/>
      <c r="J39" s="105"/>
      <c r="K39" s="105"/>
      <c r="L39" s="22">
        <f t="shared" si="2"/>
        <v>-1.7</v>
      </c>
      <c r="M39" s="22">
        <f t="shared" si="2"/>
        <v>-1.7</v>
      </c>
      <c r="N39" s="22">
        <v>-1.7</v>
      </c>
      <c r="O39" s="22"/>
      <c r="Q39" s="107"/>
    </row>
    <row r="40" spans="1:17" ht="15" customHeight="1" x14ac:dyDescent="0.2">
      <c r="A40" s="13">
        <v>29</v>
      </c>
      <c r="B40" s="76"/>
      <c r="C40" s="110" t="s">
        <v>57</v>
      </c>
      <c r="D40" s="16" t="s">
        <v>21</v>
      </c>
      <c r="E40" s="105">
        <f t="shared" si="0"/>
        <v>0.2</v>
      </c>
      <c r="F40" s="106">
        <f t="shared" si="3"/>
        <v>0.1</v>
      </c>
      <c r="G40" s="105">
        <v>0.2</v>
      </c>
      <c r="H40" s="228">
        <f>0+0.1</f>
        <v>0.1</v>
      </c>
      <c r="I40" s="105"/>
      <c r="J40" s="105"/>
      <c r="K40" s="105"/>
      <c r="L40" s="22">
        <f t="shared" si="2"/>
        <v>0</v>
      </c>
      <c r="M40" s="22">
        <f t="shared" si="2"/>
        <v>0</v>
      </c>
      <c r="N40" s="22"/>
      <c r="O40" s="22"/>
      <c r="Q40" s="107"/>
    </row>
    <row r="41" spans="1:17" ht="22.9" customHeight="1" x14ac:dyDescent="0.2">
      <c r="A41" s="13">
        <v>30</v>
      </c>
      <c r="B41" s="11" t="s">
        <v>226</v>
      </c>
      <c r="C41" s="51" t="s">
        <v>227</v>
      </c>
      <c r="D41" s="16"/>
      <c r="E41" s="58">
        <f t="shared" si="0"/>
        <v>15.200000000000003</v>
      </c>
      <c r="F41" s="58">
        <f t="shared" si="3"/>
        <v>14.4</v>
      </c>
      <c r="G41" s="58">
        <f>SUM(G42:G49)</f>
        <v>15.200000000000003</v>
      </c>
      <c r="H41" s="58">
        <f>SUM(H42:H49)</f>
        <v>14.4</v>
      </c>
      <c r="I41" s="58">
        <f>SUM(I42:I49)</f>
        <v>0</v>
      </c>
      <c r="J41" s="58">
        <f>SUM(J42:J49)</f>
        <v>0</v>
      </c>
      <c r="K41" s="58">
        <f>SUM(K42:K49)</f>
        <v>0</v>
      </c>
      <c r="L41" s="58">
        <f t="shared" ref="L41:Q41" si="4">SUM(L42:L49)</f>
        <v>-1.2000000000000002</v>
      </c>
      <c r="M41" s="58">
        <f t="shared" si="4"/>
        <v>-1.2000000000000002</v>
      </c>
      <c r="N41" s="58">
        <f t="shared" si="4"/>
        <v>-1.2000000000000002</v>
      </c>
      <c r="O41" s="58">
        <f t="shared" si="4"/>
        <v>0</v>
      </c>
      <c r="P41" s="58">
        <f t="shared" si="4"/>
        <v>0</v>
      </c>
      <c r="Q41" s="58">
        <f t="shared" si="4"/>
        <v>0</v>
      </c>
    </row>
    <row r="42" spans="1:17" ht="14.45" customHeight="1" x14ac:dyDescent="0.2">
      <c r="A42" s="13">
        <v>31</v>
      </c>
      <c r="B42" s="76"/>
      <c r="C42" s="17" t="s">
        <v>228</v>
      </c>
      <c r="D42" s="16" t="s">
        <v>229</v>
      </c>
      <c r="E42" s="105">
        <f t="shared" si="0"/>
        <v>11.8</v>
      </c>
      <c r="F42" s="106">
        <f t="shared" si="3"/>
        <v>11.8</v>
      </c>
      <c r="G42" s="105">
        <v>11.8</v>
      </c>
      <c r="H42" s="105">
        <v>11.8</v>
      </c>
      <c r="I42" s="105"/>
      <c r="J42" s="105"/>
      <c r="K42" s="105"/>
      <c r="L42" s="22">
        <f t="shared" si="2"/>
        <v>0</v>
      </c>
      <c r="M42" s="22">
        <f t="shared" si="2"/>
        <v>0</v>
      </c>
      <c r="N42" s="22"/>
      <c r="O42" s="22"/>
      <c r="Q42" s="107"/>
    </row>
    <row r="43" spans="1:17" ht="12.6" customHeight="1" x14ac:dyDescent="0.2">
      <c r="A43" s="13">
        <v>32</v>
      </c>
      <c r="B43" s="76"/>
      <c r="C43" s="111" t="s">
        <v>230</v>
      </c>
      <c r="D43" s="16" t="s">
        <v>229</v>
      </c>
      <c r="E43" s="105">
        <f t="shared" si="0"/>
        <v>1.3000000000000003</v>
      </c>
      <c r="F43" s="106">
        <f t="shared" si="3"/>
        <v>1.2</v>
      </c>
      <c r="G43" s="105">
        <f>2.2-0.9</f>
        <v>1.3000000000000003</v>
      </c>
      <c r="H43" s="105">
        <v>1.2</v>
      </c>
      <c r="I43" s="105"/>
      <c r="J43" s="105"/>
      <c r="K43" s="105"/>
      <c r="L43" s="22">
        <f t="shared" si="2"/>
        <v>-0.9</v>
      </c>
      <c r="M43" s="22">
        <f t="shared" si="2"/>
        <v>-0.9</v>
      </c>
      <c r="N43" s="22">
        <v>-0.9</v>
      </c>
      <c r="O43" s="22"/>
      <c r="Q43" s="107"/>
    </row>
    <row r="44" spans="1:17" ht="12.6" customHeight="1" x14ac:dyDescent="0.2">
      <c r="A44" s="13">
        <v>33</v>
      </c>
      <c r="B44" s="76"/>
      <c r="C44" s="17" t="s">
        <v>231</v>
      </c>
      <c r="D44" s="16" t="s">
        <v>229</v>
      </c>
      <c r="E44" s="105">
        <f t="shared" si="0"/>
        <v>0.8</v>
      </c>
      <c r="F44" s="106">
        <f t="shared" si="3"/>
        <v>0.5</v>
      </c>
      <c r="G44" s="105">
        <v>0.8</v>
      </c>
      <c r="H44" s="105">
        <v>0.5</v>
      </c>
      <c r="I44" s="105"/>
      <c r="J44" s="105"/>
      <c r="K44" s="105"/>
      <c r="L44" s="22">
        <f t="shared" si="2"/>
        <v>0</v>
      </c>
      <c r="M44" s="22">
        <f t="shared" si="2"/>
        <v>0</v>
      </c>
      <c r="N44" s="22"/>
      <c r="O44" s="22"/>
      <c r="Q44" s="107"/>
    </row>
    <row r="45" spans="1:17" ht="12.6" customHeight="1" x14ac:dyDescent="0.2">
      <c r="A45" s="13">
        <v>34</v>
      </c>
      <c r="B45" s="76"/>
      <c r="C45" s="17" t="s">
        <v>232</v>
      </c>
      <c r="D45" s="16" t="s">
        <v>229</v>
      </c>
      <c r="E45" s="105">
        <f t="shared" si="0"/>
        <v>0</v>
      </c>
      <c r="F45" s="106">
        <f t="shared" si="3"/>
        <v>0</v>
      </c>
      <c r="G45" s="105">
        <f>0.5-0.5</f>
        <v>0</v>
      </c>
      <c r="H45" s="105">
        <v>0</v>
      </c>
      <c r="I45" s="105"/>
      <c r="J45" s="105"/>
      <c r="K45" s="105"/>
      <c r="L45" s="22">
        <f t="shared" si="2"/>
        <v>-0.5</v>
      </c>
      <c r="M45" s="22">
        <f t="shared" si="2"/>
        <v>-0.5</v>
      </c>
      <c r="N45" s="22">
        <v>-0.5</v>
      </c>
      <c r="O45" s="22"/>
      <c r="Q45" s="107"/>
    </row>
    <row r="46" spans="1:17" ht="12.6" customHeight="1" x14ac:dyDescent="0.2">
      <c r="A46" s="13">
        <v>35</v>
      </c>
      <c r="B46" s="76"/>
      <c r="C46" s="17" t="s">
        <v>233</v>
      </c>
      <c r="D46" s="16" t="s">
        <v>229</v>
      </c>
      <c r="E46" s="105">
        <f t="shared" si="0"/>
        <v>0</v>
      </c>
      <c r="F46" s="106">
        <f t="shared" si="3"/>
        <v>0</v>
      </c>
      <c r="G46" s="105">
        <f>0.3-0.3</f>
        <v>0</v>
      </c>
      <c r="H46" s="105">
        <v>0</v>
      </c>
      <c r="I46" s="105"/>
      <c r="J46" s="105"/>
      <c r="K46" s="105"/>
      <c r="L46" s="22">
        <f t="shared" si="2"/>
        <v>-0.3</v>
      </c>
      <c r="M46" s="22">
        <f t="shared" si="2"/>
        <v>-0.3</v>
      </c>
      <c r="N46" s="22">
        <v>-0.3</v>
      </c>
      <c r="O46" s="22"/>
      <c r="Q46" s="107"/>
    </row>
    <row r="47" spans="1:17" ht="12.6" customHeight="1" x14ac:dyDescent="0.2">
      <c r="A47" s="13">
        <v>36</v>
      </c>
      <c r="B47" s="76"/>
      <c r="C47" s="111" t="s">
        <v>234</v>
      </c>
      <c r="D47" s="16" t="s">
        <v>229</v>
      </c>
      <c r="E47" s="105">
        <f t="shared" si="0"/>
        <v>0</v>
      </c>
      <c r="F47" s="106">
        <f t="shared" si="3"/>
        <v>0</v>
      </c>
      <c r="G47" s="105">
        <f>0.1-0.1</f>
        <v>0</v>
      </c>
      <c r="H47" s="105">
        <v>0</v>
      </c>
      <c r="I47" s="105"/>
      <c r="J47" s="105"/>
      <c r="K47" s="105"/>
      <c r="L47" s="22">
        <f t="shared" si="2"/>
        <v>-0.1</v>
      </c>
      <c r="M47" s="22">
        <f t="shared" si="2"/>
        <v>-0.1</v>
      </c>
      <c r="N47" s="22">
        <v>-0.1</v>
      </c>
      <c r="O47" s="22"/>
      <c r="Q47" s="107"/>
    </row>
    <row r="48" spans="1:17" ht="26.45" customHeight="1" x14ac:dyDescent="0.2">
      <c r="A48" s="13">
        <v>37</v>
      </c>
      <c r="B48" s="76"/>
      <c r="C48" s="109" t="s">
        <v>235</v>
      </c>
      <c r="D48" s="16" t="s">
        <v>236</v>
      </c>
      <c r="E48" s="105">
        <f t="shared" si="0"/>
        <v>0.89999999999999991</v>
      </c>
      <c r="F48" s="106">
        <f t="shared" si="3"/>
        <v>0.9</v>
      </c>
      <c r="G48" s="105">
        <f>0.3+0.6</f>
        <v>0.89999999999999991</v>
      </c>
      <c r="H48" s="105">
        <v>0.9</v>
      </c>
      <c r="I48" s="105"/>
      <c r="J48" s="105"/>
      <c r="K48" s="105"/>
      <c r="L48" s="22">
        <f t="shared" si="2"/>
        <v>0.6</v>
      </c>
      <c r="M48" s="22">
        <f t="shared" si="2"/>
        <v>0.6</v>
      </c>
      <c r="N48" s="22">
        <v>0.6</v>
      </c>
      <c r="O48" s="22"/>
      <c r="Q48" s="107"/>
    </row>
    <row r="49" spans="1:17" ht="12.6" customHeight="1" x14ac:dyDescent="0.2">
      <c r="A49" s="13">
        <v>38</v>
      </c>
      <c r="B49" s="76"/>
      <c r="C49" s="17" t="s">
        <v>237</v>
      </c>
      <c r="D49" s="16" t="s">
        <v>238</v>
      </c>
      <c r="E49" s="105">
        <f t="shared" si="0"/>
        <v>0.4</v>
      </c>
      <c r="F49" s="106">
        <f t="shared" si="3"/>
        <v>0</v>
      </c>
      <c r="G49" s="105">
        <v>0.4</v>
      </c>
      <c r="H49" s="105">
        <v>0</v>
      </c>
      <c r="I49" s="105"/>
      <c r="J49" s="105"/>
      <c r="K49" s="105"/>
      <c r="L49" s="22">
        <f t="shared" si="2"/>
        <v>0</v>
      </c>
      <c r="M49" s="22">
        <f t="shared" si="2"/>
        <v>0</v>
      </c>
      <c r="N49" s="22"/>
      <c r="O49" s="22"/>
      <c r="Q49" s="107"/>
    </row>
    <row r="50" spans="1:17" ht="15" customHeight="1" x14ac:dyDescent="0.2">
      <c r="A50" s="13">
        <v>39</v>
      </c>
      <c r="B50" s="11" t="s">
        <v>462</v>
      </c>
      <c r="C50" s="51" t="s">
        <v>463</v>
      </c>
      <c r="D50" s="16"/>
      <c r="E50" s="58">
        <f t="shared" si="0"/>
        <v>46.300000000000004</v>
      </c>
      <c r="F50" s="58">
        <f t="shared" si="3"/>
        <v>22.900000000000006</v>
      </c>
      <c r="G50" s="58">
        <f>SUM(G51:G62)</f>
        <v>46.300000000000004</v>
      </c>
      <c r="H50" s="58">
        <f>SUM(H51:H62)</f>
        <v>22.900000000000006</v>
      </c>
      <c r="I50" s="58">
        <f>SUM(I51:I62)</f>
        <v>0</v>
      </c>
      <c r="J50" s="58">
        <f>SUM(J51:J62)</f>
        <v>0</v>
      </c>
      <c r="K50" s="58">
        <f>SUM(K51:K62)</f>
        <v>0</v>
      </c>
      <c r="L50" s="58">
        <f t="shared" ref="L50:Q50" si="5">SUM(L51:L62)</f>
        <v>0.5</v>
      </c>
      <c r="M50" s="58">
        <f t="shared" si="5"/>
        <v>0.5</v>
      </c>
      <c r="N50" s="58">
        <f t="shared" si="5"/>
        <v>0.5</v>
      </c>
      <c r="O50" s="58">
        <f t="shared" si="5"/>
        <v>0</v>
      </c>
      <c r="P50" s="58">
        <f t="shared" si="5"/>
        <v>0</v>
      </c>
      <c r="Q50" s="58">
        <f t="shared" si="5"/>
        <v>0</v>
      </c>
    </row>
    <row r="51" spans="1:17" ht="12.6" customHeight="1" x14ac:dyDescent="0.2">
      <c r="A51" s="13">
        <v>40</v>
      </c>
      <c r="B51" s="76"/>
      <c r="C51" s="40" t="s">
        <v>61</v>
      </c>
      <c r="D51" s="64" t="s">
        <v>399</v>
      </c>
      <c r="E51" s="105">
        <f t="shared" si="0"/>
        <v>20.8</v>
      </c>
      <c r="F51" s="106">
        <f t="shared" si="3"/>
        <v>6</v>
      </c>
      <c r="G51" s="105">
        <v>20.8</v>
      </c>
      <c r="H51" s="105">
        <v>6</v>
      </c>
      <c r="I51" s="105"/>
      <c r="J51" s="105"/>
      <c r="K51" s="105"/>
      <c r="L51" s="22">
        <f t="shared" si="2"/>
        <v>0</v>
      </c>
      <c r="M51" s="22">
        <f t="shared" si="2"/>
        <v>0</v>
      </c>
      <c r="N51" s="22"/>
      <c r="O51" s="22"/>
      <c r="Q51" s="107"/>
    </row>
    <row r="52" spans="1:17" ht="24.95" customHeight="1" x14ac:dyDescent="0.2">
      <c r="A52" s="13">
        <v>41</v>
      </c>
      <c r="B52" s="76"/>
      <c r="C52" s="112" t="s">
        <v>190</v>
      </c>
      <c r="D52" s="64" t="s">
        <v>512</v>
      </c>
      <c r="E52" s="105">
        <f t="shared" si="0"/>
        <v>7</v>
      </c>
      <c r="F52" s="106">
        <f t="shared" si="3"/>
        <v>4.6000000000000005</v>
      </c>
      <c r="G52" s="105">
        <v>7</v>
      </c>
      <c r="H52" s="228">
        <f>4.7-0.1</f>
        <v>4.6000000000000005</v>
      </c>
      <c r="I52" s="105"/>
      <c r="J52" s="105"/>
      <c r="K52" s="105"/>
      <c r="L52" s="22">
        <f t="shared" si="2"/>
        <v>0</v>
      </c>
      <c r="M52" s="22">
        <f t="shared" si="2"/>
        <v>0</v>
      </c>
      <c r="N52" s="22"/>
      <c r="O52" s="22"/>
      <c r="Q52" s="107"/>
    </row>
    <row r="53" spans="1:17" ht="12.6" customHeight="1" x14ac:dyDescent="0.2">
      <c r="A53" s="13">
        <v>42</v>
      </c>
      <c r="B53" s="76"/>
      <c r="C53" s="27" t="s">
        <v>192</v>
      </c>
      <c r="D53" s="64" t="s">
        <v>399</v>
      </c>
      <c r="E53" s="105">
        <f t="shared" si="0"/>
        <v>2.1</v>
      </c>
      <c r="F53" s="106">
        <f t="shared" si="3"/>
        <v>1.5</v>
      </c>
      <c r="G53" s="105">
        <v>2.1</v>
      </c>
      <c r="H53" s="105">
        <v>1.5</v>
      </c>
      <c r="I53" s="105"/>
      <c r="J53" s="105"/>
      <c r="K53" s="105"/>
      <c r="L53" s="22">
        <f t="shared" si="2"/>
        <v>0</v>
      </c>
      <c r="M53" s="22">
        <f t="shared" si="2"/>
        <v>0</v>
      </c>
      <c r="N53" s="22"/>
      <c r="O53" s="22"/>
      <c r="Q53" s="107"/>
    </row>
    <row r="54" spans="1:17" ht="12.6" customHeight="1" x14ac:dyDescent="0.2">
      <c r="A54" s="13">
        <v>43</v>
      </c>
      <c r="B54" s="76"/>
      <c r="C54" s="27" t="s">
        <v>194</v>
      </c>
      <c r="D54" s="64" t="s">
        <v>399</v>
      </c>
      <c r="E54" s="105">
        <f t="shared" si="0"/>
        <v>1.5</v>
      </c>
      <c r="F54" s="106">
        <f t="shared" si="3"/>
        <v>1.4</v>
      </c>
      <c r="G54" s="105">
        <v>1.5</v>
      </c>
      <c r="H54" s="228">
        <f>1.5-0.1</f>
        <v>1.4</v>
      </c>
      <c r="I54" s="105"/>
      <c r="J54" s="105"/>
      <c r="K54" s="105"/>
      <c r="L54" s="22">
        <f t="shared" si="2"/>
        <v>0</v>
      </c>
      <c r="M54" s="22">
        <f t="shared" si="2"/>
        <v>0</v>
      </c>
      <c r="N54" s="22"/>
      <c r="O54" s="22"/>
      <c r="Q54" s="107"/>
    </row>
    <row r="55" spans="1:17" ht="12.6" customHeight="1" x14ac:dyDescent="0.2">
      <c r="A55" s="13">
        <v>44</v>
      </c>
      <c r="B55" s="76"/>
      <c r="C55" s="27" t="s">
        <v>195</v>
      </c>
      <c r="D55" s="64" t="s">
        <v>399</v>
      </c>
      <c r="E55" s="105">
        <f t="shared" si="0"/>
        <v>5</v>
      </c>
      <c r="F55" s="106">
        <f t="shared" si="3"/>
        <v>3.7</v>
      </c>
      <c r="G55" s="105">
        <f>4.5+0.5</f>
        <v>5</v>
      </c>
      <c r="H55" s="105">
        <v>3.7</v>
      </c>
      <c r="I55" s="105"/>
      <c r="J55" s="105"/>
      <c r="K55" s="105"/>
      <c r="L55" s="22">
        <f t="shared" si="2"/>
        <v>0.5</v>
      </c>
      <c r="M55" s="22">
        <f t="shared" si="2"/>
        <v>0.5</v>
      </c>
      <c r="N55" s="22">
        <v>0.5</v>
      </c>
      <c r="O55" s="22"/>
      <c r="Q55" s="107"/>
    </row>
    <row r="56" spans="1:17" ht="12.6" customHeight="1" x14ac:dyDescent="0.2">
      <c r="A56" s="13">
        <v>45</v>
      </c>
      <c r="B56" s="64"/>
      <c r="C56" s="113" t="s">
        <v>196</v>
      </c>
      <c r="D56" s="64" t="s">
        <v>399</v>
      </c>
      <c r="E56" s="21">
        <f t="shared" si="0"/>
        <v>2.2999999999999998</v>
      </c>
      <c r="F56" s="106">
        <f t="shared" si="3"/>
        <v>1</v>
      </c>
      <c r="G56" s="21">
        <v>2.2999999999999998</v>
      </c>
      <c r="H56" s="21">
        <v>1</v>
      </c>
      <c r="I56" s="21"/>
      <c r="J56" s="21"/>
      <c r="K56" s="21"/>
      <c r="L56" s="22">
        <f t="shared" si="2"/>
        <v>0</v>
      </c>
      <c r="M56" s="22">
        <f t="shared" si="2"/>
        <v>0</v>
      </c>
      <c r="N56" s="22"/>
      <c r="O56" s="22"/>
      <c r="Q56" s="107"/>
    </row>
    <row r="57" spans="1:17" ht="12.6" customHeight="1" x14ac:dyDescent="0.2">
      <c r="A57" s="13">
        <v>46</v>
      </c>
      <c r="B57" s="76"/>
      <c r="C57" s="27" t="s">
        <v>197</v>
      </c>
      <c r="D57" s="64" t="s">
        <v>399</v>
      </c>
      <c r="E57" s="105">
        <f t="shared" si="0"/>
        <v>1.4</v>
      </c>
      <c r="F57" s="106">
        <f t="shared" si="3"/>
        <v>1.1000000000000001</v>
      </c>
      <c r="G57" s="105">
        <v>1.4</v>
      </c>
      <c r="H57" s="105">
        <v>1.1000000000000001</v>
      </c>
      <c r="I57" s="105"/>
      <c r="J57" s="105"/>
      <c r="K57" s="105"/>
      <c r="L57" s="22">
        <f t="shared" si="2"/>
        <v>0</v>
      </c>
      <c r="M57" s="22">
        <f t="shared" si="2"/>
        <v>0</v>
      </c>
      <c r="N57" s="22"/>
      <c r="O57" s="22"/>
      <c r="Q57" s="107"/>
    </row>
    <row r="58" spans="1:17" ht="12.6" customHeight="1" x14ac:dyDescent="0.2">
      <c r="A58" s="13">
        <v>47</v>
      </c>
      <c r="B58" s="76"/>
      <c r="C58" s="40" t="s">
        <v>198</v>
      </c>
      <c r="D58" s="64" t="s">
        <v>399</v>
      </c>
      <c r="E58" s="105">
        <f t="shared" si="0"/>
        <v>1</v>
      </c>
      <c r="F58" s="106">
        <f t="shared" si="3"/>
        <v>0.1</v>
      </c>
      <c r="G58" s="105">
        <v>1</v>
      </c>
      <c r="H58" s="105">
        <v>0.1</v>
      </c>
      <c r="I58" s="105"/>
      <c r="J58" s="105"/>
      <c r="K58" s="105"/>
      <c r="L58" s="22">
        <f t="shared" si="2"/>
        <v>0</v>
      </c>
      <c r="M58" s="22">
        <f t="shared" si="2"/>
        <v>0</v>
      </c>
      <c r="N58" s="22"/>
      <c r="O58" s="22"/>
      <c r="Q58" s="107"/>
    </row>
    <row r="59" spans="1:17" ht="12.6" customHeight="1" x14ac:dyDescent="0.2">
      <c r="A59" s="13">
        <v>48</v>
      </c>
      <c r="B59" s="76"/>
      <c r="C59" s="27" t="s">
        <v>199</v>
      </c>
      <c r="D59" s="64" t="s">
        <v>399</v>
      </c>
      <c r="E59" s="105">
        <f t="shared" si="0"/>
        <v>1.5</v>
      </c>
      <c r="F59" s="106">
        <f t="shared" si="3"/>
        <v>0.9</v>
      </c>
      <c r="G59" s="105">
        <v>1.5</v>
      </c>
      <c r="H59" s="105">
        <v>0.9</v>
      </c>
      <c r="I59" s="105"/>
      <c r="J59" s="105"/>
      <c r="K59" s="105"/>
      <c r="L59" s="22">
        <f t="shared" si="2"/>
        <v>0</v>
      </c>
      <c r="M59" s="22">
        <f t="shared" si="2"/>
        <v>0</v>
      </c>
      <c r="N59" s="22"/>
      <c r="O59" s="22"/>
      <c r="Q59" s="107"/>
    </row>
    <row r="60" spans="1:17" ht="12.6" customHeight="1" x14ac:dyDescent="0.2">
      <c r="A60" s="13">
        <v>49</v>
      </c>
      <c r="B60" s="76"/>
      <c r="C60" s="27" t="s">
        <v>200</v>
      </c>
      <c r="D60" s="64" t="s">
        <v>399</v>
      </c>
      <c r="E60" s="105">
        <f t="shared" si="0"/>
        <v>1.6</v>
      </c>
      <c r="F60" s="106">
        <f t="shared" si="3"/>
        <v>1.5</v>
      </c>
      <c r="G60" s="105">
        <v>1.6</v>
      </c>
      <c r="H60" s="105">
        <v>1.5</v>
      </c>
      <c r="I60" s="105"/>
      <c r="J60" s="105"/>
      <c r="K60" s="105"/>
      <c r="L60" s="22">
        <f t="shared" si="2"/>
        <v>0</v>
      </c>
      <c r="M60" s="22">
        <f t="shared" si="2"/>
        <v>0</v>
      </c>
      <c r="N60" s="22"/>
      <c r="O60" s="22"/>
      <c r="Q60" s="107"/>
    </row>
    <row r="61" spans="1:17" ht="12.6" customHeight="1" x14ac:dyDescent="0.2">
      <c r="A61" s="13">
        <v>50</v>
      </c>
      <c r="B61" s="76"/>
      <c r="C61" s="40" t="s">
        <v>201</v>
      </c>
      <c r="D61" s="64" t="s">
        <v>399</v>
      </c>
      <c r="E61" s="105">
        <f t="shared" si="0"/>
        <v>2</v>
      </c>
      <c r="F61" s="106">
        <f t="shared" si="3"/>
        <v>1</v>
      </c>
      <c r="G61" s="105">
        <v>2</v>
      </c>
      <c r="H61" s="105">
        <v>1</v>
      </c>
      <c r="I61" s="105"/>
      <c r="J61" s="105"/>
      <c r="K61" s="105"/>
      <c r="L61" s="22">
        <f t="shared" si="2"/>
        <v>0</v>
      </c>
      <c r="M61" s="22">
        <f t="shared" si="2"/>
        <v>0</v>
      </c>
      <c r="N61" s="22"/>
      <c r="O61" s="22"/>
      <c r="Q61" s="107"/>
    </row>
    <row r="62" spans="1:17" ht="12.6" customHeight="1" x14ac:dyDescent="0.2">
      <c r="A62" s="13">
        <v>51</v>
      </c>
      <c r="B62" s="76"/>
      <c r="C62" s="27" t="s">
        <v>202</v>
      </c>
      <c r="D62" s="64" t="s">
        <v>399</v>
      </c>
      <c r="E62" s="105">
        <f t="shared" si="0"/>
        <v>0.1</v>
      </c>
      <c r="F62" s="106">
        <f t="shared" si="3"/>
        <v>0.1</v>
      </c>
      <c r="G62" s="105">
        <v>0.1</v>
      </c>
      <c r="H62" s="105">
        <v>0.1</v>
      </c>
      <c r="I62" s="105"/>
      <c r="J62" s="105"/>
      <c r="K62" s="105"/>
      <c r="L62" s="22">
        <f t="shared" si="2"/>
        <v>0</v>
      </c>
      <c r="M62" s="22">
        <f t="shared" si="2"/>
        <v>0</v>
      </c>
      <c r="N62" s="22"/>
      <c r="O62" s="22"/>
      <c r="Q62" s="107"/>
    </row>
    <row r="63" spans="1:17" ht="12.6" customHeight="1" x14ac:dyDescent="0.2">
      <c r="A63" s="13">
        <v>52</v>
      </c>
      <c r="B63" s="76"/>
      <c r="C63" s="114" t="s">
        <v>491</v>
      </c>
      <c r="D63" s="76"/>
      <c r="E63" s="58">
        <f t="shared" si="0"/>
        <v>150.80000000000004</v>
      </c>
      <c r="F63" s="58">
        <f t="shared" si="3"/>
        <v>113.00000000000001</v>
      </c>
      <c r="G63" s="58">
        <f>+G12+G41+G50</f>
        <v>149.00000000000003</v>
      </c>
      <c r="H63" s="58">
        <f>+H12+H41+H50</f>
        <v>111.30000000000001</v>
      </c>
      <c r="I63" s="58">
        <f>+I12+I41+I50</f>
        <v>6</v>
      </c>
      <c r="J63" s="58">
        <f>+J12+J41+J50</f>
        <v>1.4</v>
      </c>
      <c r="K63" s="58">
        <f>+K12+K41+K50</f>
        <v>1.8</v>
      </c>
      <c r="L63" s="58">
        <f t="shared" ref="L63:Q63" si="6">+L12+L41+L50</f>
        <v>3</v>
      </c>
      <c r="M63" s="58">
        <f t="shared" si="6"/>
        <v>-2.6</v>
      </c>
      <c r="N63" s="58">
        <f t="shared" si="6"/>
        <v>12.600000000000001</v>
      </c>
      <c r="O63" s="58">
        <f t="shared" si="6"/>
        <v>5.6</v>
      </c>
      <c r="P63" s="58">
        <f t="shared" si="6"/>
        <v>-15.2</v>
      </c>
      <c r="Q63" s="58">
        <f t="shared" si="6"/>
        <v>1.7000000000000002</v>
      </c>
    </row>
    <row r="64" spans="1:17" x14ac:dyDescent="0.2">
      <c r="C64" s="4" t="s">
        <v>513</v>
      </c>
      <c r="E64" s="96"/>
      <c r="F64" s="96"/>
      <c r="G64" s="96"/>
      <c r="H64" s="96"/>
      <c r="I64" s="96"/>
      <c r="J64" s="96"/>
      <c r="K64" s="96"/>
    </row>
    <row r="65" spans="5:13" x14ac:dyDescent="0.2">
      <c r="E65" s="96"/>
      <c r="F65" s="96"/>
      <c r="G65" s="96"/>
      <c r="H65" s="96"/>
      <c r="I65" s="96"/>
      <c r="J65" s="96"/>
      <c r="K65" s="96"/>
    </row>
    <row r="66" spans="5:13" hidden="1" x14ac:dyDescent="0.2">
      <c r="E66" s="96">
        <f>+G66+K66</f>
        <v>153.4</v>
      </c>
      <c r="F66" s="96"/>
      <c r="G66" s="96">
        <v>136.4</v>
      </c>
      <c r="H66" s="96"/>
      <c r="I66" s="96">
        <v>0.4</v>
      </c>
      <c r="J66" s="96"/>
      <c r="K66" s="96">
        <v>17</v>
      </c>
    </row>
    <row r="67" spans="5:13" hidden="1" x14ac:dyDescent="0.2">
      <c r="E67" s="96">
        <f>+G67+K67</f>
        <v>-2.5999999999999766</v>
      </c>
      <c r="F67" s="96"/>
      <c r="G67" s="96">
        <f>+G63-G66</f>
        <v>12.600000000000023</v>
      </c>
      <c r="H67" s="96"/>
      <c r="I67" s="96">
        <f>+I63-I66</f>
        <v>5.6</v>
      </c>
      <c r="J67" s="96"/>
      <c r="K67" s="96">
        <f>+K63-K66</f>
        <v>-15.2</v>
      </c>
    </row>
    <row r="68" spans="5:13" x14ac:dyDescent="0.2">
      <c r="E68" s="81"/>
      <c r="F68" s="81"/>
      <c r="M68" s="115"/>
    </row>
  </sheetData>
  <mergeCells count="20">
    <mergeCell ref="G9:H9"/>
    <mergeCell ref="I9:J9"/>
    <mergeCell ref="K9:K10"/>
    <mergeCell ref="Q9:Q10"/>
    <mergeCell ref="A7:A10"/>
    <mergeCell ref="B7:B10"/>
    <mergeCell ref="C7:C10"/>
    <mergeCell ref="D7:D10"/>
    <mergeCell ref="E7:F8"/>
    <mergeCell ref="G7:Q7"/>
    <mergeCell ref="G8:J8"/>
    <mergeCell ref="K8:Q8"/>
    <mergeCell ref="E9:E10"/>
    <mergeCell ref="F9:F10"/>
    <mergeCell ref="J6:Q6"/>
    <mergeCell ref="I4:Q4"/>
    <mergeCell ref="C2:Q2"/>
    <mergeCell ref="C1:Q1"/>
    <mergeCell ref="C3:K3"/>
    <mergeCell ref="A5:K5"/>
  </mergeCells>
  <pageMargins left="0.31496062992125984" right="0.31496062992125984" top="0.35433070866141736" bottom="0.35433070866141736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67"/>
  <sheetViews>
    <sheetView workbookViewId="0">
      <selection activeCell="S21" sqref="S21"/>
    </sheetView>
  </sheetViews>
  <sheetFormatPr defaultColWidth="9.140625" defaultRowHeight="12.75" x14ac:dyDescent="0.2"/>
  <cols>
    <col min="1" max="1" width="4" style="4" customWidth="1"/>
    <col min="2" max="2" width="6.7109375" style="2" customWidth="1"/>
    <col min="3" max="3" width="53.140625" style="4" customWidth="1"/>
    <col min="4" max="4" width="10.7109375" style="2" customWidth="1"/>
    <col min="5" max="6" width="7.5703125" style="1" customWidth="1"/>
    <col min="7" max="8" width="7.42578125" style="1" customWidth="1"/>
    <col min="9" max="10" width="7.85546875" style="1" customWidth="1"/>
    <col min="11" max="11" width="7.28515625" style="1" customWidth="1"/>
    <col min="12" max="15" width="9.140625" style="3" hidden="1" customWidth="1"/>
    <col min="16" max="16" width="1.7109375" style="3" hidden="1" customWidth="1"/>
    <col min="17" max="256" width="9.140625" style="3"/>
    <col min="257" max="257" width="4" style="3" customWidth="1"/>
    <col min="258" max="258" width="6.7109375" style="3" customWidth="1"/>
    <col min="259" max="259" width="53.140625" style="3" customWidth="1"/>
    <col min="260" max="260" width="10.7109375" style="3" customWidth="1"/>
    <col min="261" max="262" width="7.5703125" style="3" customWidth="1"/>
    <col min="263" max="264" width="7.42578125" style="3" customWidth="1"/>
    <col min="265" max="266" width="7.85546875" style="3" customWidth="1"/>
    <col min="267" max="267" width="7.28515625" style="3" customWidth="1"/>
    <col min="268" max="272" width="0" style="3" hidden="1" customWidth="1"/>
    <col min="273" max="512" width="9.140625" style="3"/>
    <col min="513" max="513" width="4" style="3" customWidth="1"/>
    <col min="514" max="514" width="6.7109375" style="3" customWidth="1"/>
    <col min="515" max="515" width="53.140625" style="3" customWidth="1"/>
    <col min="516" max="516" width="10.7109375" style="3" customWidth="1"/>
    <col min="517" max="518" width="7.5703125" style="3" customWidth="1"/>
    <col min="519" max="520" width="7.42578125" style="3" customWidth="1"/>
    <col min="521" max="522" width="7.85546875" style="3" customWidth="1"/>
    <col min="523" max="523" width="7.28515625" style="3" customWidth="1"/>
    <col min="524" max="528" width="0" style="3" hidden="1" customWidth="1"/>
    <col min="529" max="768" width="9.140625" style="3"/>
    <col min="769" max="769" width="4" style="3" customWidth="1"/>
    <col min="770" max="770" width="6.7109375" style="3" customWidth="1"/>
    <col min="771" max="771" width="53.140625" style="3" customWidth="1"/>
    <col min="772" max="772" width="10.7109375" style="3" customWidth="1"/>
    <col min="773" max="774" width="7.5703125" style="3" customWidth="1"/>
    <col min="775" max="776" width="7.42578125" style="3" customWidth="1"/>
    <col min="777" max="778" width="7.85546875" style="3" customWidth="1"/>
    <col min="779" max="779" width="7.28515625" style="3" customWidth="1"/>
    <col min="780" max="784" width="0" style="3" hidden="1" customWidth="1"/>
    <col min="785" max="1024" width="9.140625" style="3"/>
    <col min="1025" max="1025" width="4" style="3" customWidth="1"/>
    <col min="1026" max="1026" width="6.7109375" style="3" customWidth="1"/>
    <col min="1027" max="1027" width="53.140625" style="3" customWidth="1"/>
    <col min="1028" max="1028" width="10.7109375" style="3" customWidth="1"/>
    <col min="1029" max="1030" width="7.5703125" style="3" customWidth="1"/>
    <col min="1031" max="1032" width="7.42578125" style="3" customWidth="1"/>
    <col min="1033" max="1034" width="7.85546875" style="3" customWidth="1"/>
    <col min="1035" max="1035" width="7.28515625" style="3" customWidth="1"/>
    <col min="1036" max="1040" width="0" style="3" hidden="1" customWidth="1"/>
    <col min="1041" max="1280" width="9.140625" style="3"/>
    <col min="1281" max="1281" width="4" style="3" customWidth="1"/>
    <col min="1282" max="1282" width="6.7109375" style="3" customWidth="1"/>
    <col min="1283" max="1283" width="53.140625" style="3" customWidth="1"/>
    <col min="1284" max="1284" width="10.7109375" style="3" customWidth="1"/>
    <col min="1285" max="1286" width="7.5703125" style="3" customWidth="1"/>
    <col min="1287" max="1288" width="7.42578125" style="3" customWidth="1"/>
    <col min="1289" max="1290" width="7.85546875" style="3" customWidth="1"/>
    <col min="1291" max="1291" width="7.28515625" style="3" customWidth="1"/>
    <col min="1292" max="1296" width="0" style="3" hidden="1" customWidth="1"/>
    <col min="1297" max="1536" width="9.140625" style="3"/>
    <col min="1537" max="1537" width="4" style="3" customWidth="1"/>
    <col min="1538" max="1538" width="6.7109375" style="3" customWidth="1"/>
    <col min="1539" max="1539" width="53.140625" style="3" customWidth="1"/>
    <col min="1540" max="1540" width="10.7109375" style="3" customWidth="1"/>
    <col min="1541" max="1542" width="7.5703125" style="3" customWidth="1"/>
    <col min="1543" max="1544" width="7.42578125" style="3" customWidth="1"/>
    <col min="1545" max="1546" width="7.85546875" style="3" customWidth="1"/>
    <col min="1547" max="1547" width="7.28515625" style="3" customWidth="1"/>
    <col min="1548" max="1552" width="0" style="3" hidden="1" customWidth="1"/>
    <col min="1553" max="1792" width="9.140625" style="3"/>
    <col min="1793" max="1793" width="4" style="3" customWidth="1"/>
    <col min="1794" max="1794" width="6.7109375" style="3" customWidth="1"/>
    <col min="1795" max="1795" width="53.140625" style="3" customWidth="1"/>
    <col min="1796" max="1796" width="10.7109375" style="3" customWidth="1"/>
    <col min="1797" max="1798" width="7.5703125" style="3" customWidth="1"/>
    <col min="1799" max="1800" width="7.42578125" style="3" customWidth="1"/>
    <col min="1801" max="1802" width="7.85546875" style="3" customWidth="1"/>
    <col min="1803" max="1803" width="7.28515625" style="3" customWidth="1"/>
    <col min="1804" max="1808" width="0" style="3" hidden="1" customWidth="1"/>
    <col min="1809" max="2048" width="9.140625" style="3"/>
    <col min="2049" max="2049" width="4" style="3" customWidth="1"/>
    <col min="2050" max="2050" width="6.7109375" style="3" customWidth="1"/>
    <col min="2051" max="2051" width="53.140625" style="3" customWidth="1"/>
    <col min="2052" max="2052" width="10.7109375" style="3" customWidth="1"/>
    <col min="2053" max="2054" width="7.5703125" style="3" customWidth="1"/>
    <col min="2055" max="2056" width="7.42578125" style="3" customWidth="1"/>
    <col min="2057" max="2058" width="7.85546875" style="3" customWidth="1"/>
    <col min="2059" max="2059" width="7.28515625" style="3" customWidth="1"/>
    <col min="2060" max="2064" width="0" style="3" hidden="1" customWidth="1"/>
    <col min="2065" max="2304" width="9.140625" style="3"/>
    <col min="2305" max="2305" width="4" style="3" customWidth="1"/>
    <col min="2306" max="2306" width="6.7109375" style="3" customWidth="1"/>
    <col min="2307" max="2307" width="53.140625" style="3" customWidth="1"/>
    <col min="2308" max="2308" width="10.7109375" style="3" customWidth="1"/>
    <col min="2309" max="2310" width="7.5703125" style="3" customWidth="1"/>
    <col min="2311" max="2312" width="7.42578125" style="3" customWidth="1"/>
    <col min="2313" max="2314" width="7.85546875" style="3" customWidth="1"/>
    <col min="2315" max="2315" width="7.28515625" style="3" customWidth="1"/>
    <col min="2316" max="2320" width="0" style="3" hidden="1" customWidth="1"/>
    <col min="2321" max="2560" width="9.140625" style="3"/>
    <col min="2561" max="2561" width="4" style="3" customWidth="1"/>
    <col min="2562" max="2562" width="6.7109375" style="3" customWidth="1"/>
    <col min="2563" max="2563" width="53.140625" style="3" customWidth="1"/>
    <col min="2564" max="2564" width="10.7109375" style="3" customWidth="1"/>
    <col min="2565" max="2566" width="7.5703125" style="3" customWidth="1"/>
    <col min="2567" max="2568" width="7.42578125" style="3" customWidth="1"/>
    <col min="2569" max="2570" width="7.85546875" style="3" customWidth="1"/>
    <col min="2571" max="2571" width="7.28515625" style="3" customWidth="1"/>
    <col min="2572" max="2576" width="0" style="3" hidden="1" customWidth="1"/>
    <col min="2577" max="2816" width="9.140625" style="3"/>
    <col min="2817" max="2817" width="4" style="3" customWidth="1"/>
    <col min="2818" max="2818" width="6.7109375" style="3" customWidth="1"/>
    <col min="2819" max="2819" width="53.140625" style="3" customWidth="1"/>
    <col min="2820" max="2820" width="10.7109375" style="3" customWidth="1"/>
    <col min="2821" max="2822" width="7.5703125" style="3" customWidth="1"/>
    <col min="2823" max="2824" width="7.42578125" style="3" customWidth="1"/>
    <col min="2825" max="2826" width="7.85546875" style="3" customWidth="1"/>
    <col min="2827" max="2827" width="7.28515625" style="3" customWidth="1"/>
    <col min="2828" max="2832" width="0" style="3" hidden="1" customWidth="1"/>
    <col min="2833" max="3072" width="9.140625" style="3"/>
    <col min="3073" max="3073" width="4" style="3" customWidth="1"/>
    <col min="3074" max="3074" width="6.7109375" style="3" customWidth="1"/>
    <col min="3075" max="3075" width="53.140625" style="3" customWidth="1"/>
    <col min="3076" max="3076" width="10.7109375" style="3" customWidth="1"/>
    <col min="3077" max="3078" width="7.5703125" style="3" customWidth="1"/>
    <col min="3079" max="3080" width="7.42578125" style="3" customWidth="1"/>
    <col min="3081" max="3082" width="7.85546875" style="3" customWidth="1"/>
    <col min="3083" max="3083" width="7.28515625" style="3" customWidth="1"/>
    <col min="3084" max="3088" width="0" style="3" hidden="1" customWidth="1"/>
    <col min="3089" max="3328" width="9.140625" style="3"/>
    <col min="3329" max="3329" width="4" style="3" customWidth="1"/>
    <col min="3330" max="3330" width="6.7109375" style="3" customWidth="1"/>
    <col min="3331" max="3331" width="53.140625" style="3" customWidth="1"/>
    <col min="3332" max="3332" width="10.7109375" style="3" customWidth="1"/>
    <col min="3333" max="3334" width="7.5703125" style="3" customWidth="1"/>
    <col min="3335" max="3336" width="7.42578125" style="3" customWidth="1"/>
    <col min="3337" max="3338" width="7.85546875" style="3" customWidth="1"/>
    <col min="3339" max="3339" width="7.28515625" style="3" customWidth="1"/>
    <col min="3340" max="3344" width="0" style="3" hidden="1" customWidth="1"/>
    <col min="3345" max="3584" width="9.140625" style="3"/>
    <col min="3585" max="3585" width="4" style="3" customWidth="1"/>
    <col min="3586" max="3586" width="6.7109375" style="3" customWidth="1"/>
    <col min="3587" max="3587" width="53.140625" style="3" customWidth="1"/>
    <col min="3588" max="3588" width="10.7109375" style="3" customWidth="1"/>
    <col min="3589" max="3590" width="7.5703125" style="3" customWidth="1"/>
    <col min="3591" max="3592" width="7.42578125" style="3" customWidth="1"/>
    <col min="3593" max="3594" width="7.85546875" style="3" customWidth="1"/>
    <col min="3595" max="3595" width="7.28515625" style="3" customWidth="1"/>
    <col min="3596" max="3600" width="0" style="3" hidden="1" customWidth="1"/>
    <col min="3601" max="3840" width="9.140625" style="3"/>
    <col min="3841" max="3841" width="4" style="3" customWidth="1"/>
    <col min="3842" max="3842" width="6.7109375" style="3" customWidth="1"/>
    <col min="3843" max="3843" width="53.140625" style="3" customWidth="1"/>
    <col min="3844" max="3844" width="10.7109375" style="3" customWidth="1"/>
    <col min="3845" max="3846" width="7.5703125" style="3" customWidth="1"/>
    <col min="3847" max="3848" width="7.42578125" style="3" customWidth="1"/>
    <col min="3849" max="3850" width="7.85546875" style="3" customWidth="1"/>
    <col min="3851" max="3851" width="7.28515625" style="3" customWidth="1"/>
    <col min="3852" max="3856" width="0" style="3" hidden="1" customWidth="1"/>
    <col min="3857" max="4096" width="9.140625" style="3"/>
    <col min="4097" max="4097" width="4" style="3" customWidth="1"/>
    <col min="4098" max="4098" width="6.7109375" style="3" customWidth="1"/>
    <col min="4099" max="4099" width="53.140625" style="3" customWidth="1"/>
    <col min="4100" max="4100" width="10.7109375" style="3" customWidth="1"/>
    <col min="4101" max="4102" width="7.5703125" style="3" customWidth="1"/>
    <col min="4103" max="4104" width="7.42578125" style="3" customWidth="1"/>
    <col min="4105" max="4106" width="7.85546875" style="3" customWidth="1"/>
    <col min="4107" max="4107" width="7.28515625" style="3" customWidth="1"/>
    <col min="4108" max="4112" width="0" style="3" hidden="1" customWidth="1"/>
    <col min="4113" max="4352" width="9.140625" style="3"/>
    <col min="4353" max="4353" width="4" style="3" customWidth="1"/>
    <col min="4354" max="4354" width="6.7109375" style="3" customWidth="1"/>
    <col min="4355" max="4355" width="53.140625" style="3" customWidth="1"/>
    <col min="4356" max="4356" width="10.7109375" style="3" customWidth="1"/>
    <col min="4357" max="4358" width="7.5703125" style="3" customWidth="1"/>
    <col min="4359" max="4360" width="7.42578125" style="3" customWidth="1"/>
    <col min="4361" max="4362" width="7.85546875" style="3" customWidth="1"/>
    <col min="4363" max="4363" width="7.28515625" style="3" customWidth="1"/>
    <col min="4364" max="4368" width="0" style="3" hidden="1" customWidth="1"/>
    <col min="4369" max="4608" width="9.140625" style="3"/>
    <col min="4609" max="4609" width="4" style="3" customWidth="1"/>
    <col min="4610" max="4610" width="6.7109375" style="3" customWidth="1"/>
    <col min="4611" max="4611" width="53.140625" style="3" customWidth="1"/>
    <col min="4612" max="4612" width="10.7109375" style="3" customWidth="1"/>
    <col min="4613" max="4614" width="7.5703125" style="3" customWidth="1"/>
    <col min="4615" max="4616" width="7.42578125" style="3" customWidth="1"/>
    <col min="4617" max="4618" width="7.85546875" style="3" customWidth="1"/>
    <col min="4619" max="4619" width="7.28515625" style="3" customWidth="1"/>
    <col min="4620" max="4624" width="0" style="3" hidden="1" customWidth="1"/>
    <col min="4625" max="4864" width="9.140625" style="3"/>
    <col min="4865" max="4865" width="4" style="3" customWidth="1"/>
    <col min="4866" max="4866" width="6.7109375" style="3" customWidth="1"/>
    <col min="4867" max="4867" width="53.140625" style="3" customWidth="1"/>
    <col min="4868" max="4868" width="10.7109375" style="3" customWidth="1"/>
    <col min="4869" max="4870" width="7.5703125" style="3" customWidth="1"/>
    <col min="4871" max="4872" width="7.42578125" style="3" customWidth="1"/>
    <col min="4873" max="4874" width="7.85546875" style="3" customWidth="1"/>
    <col min="4875" max="4875" width="7.28515625" style="3" customWidth="1"/>
    <col min="4876" max="4880" width="0" style="3" hidden="1" customWidth="1"/>
    <col min="4881" max="5120" width="9.140625" style="3"/>
    <col min="5121" max="5121" width="4" style="3" customWidth="1"/>
    <col min="5122" max="5122" width="6.7109375" style="3" customWidth="1"/>
    <col min="5123" max="5123" width="53.140625" style="3" customWidth="1"/>
    <col min="5124" max="5124" width="10.7109375" style="3" customWidth="1"/>
    <col min="5125" max="5126" width="7.5703125" style="3" customWidth="1"/>
    <col min="5127" max="5128" width="7.42578125" style="3" customWidth="1"/>
    <col min="5129" max="5130" width="7.85546875" style="3" customWidth="1"/>
    <col min="5131" max="5131" width="7.28515625" style="3" customWidth="1"/>
    <col min="5132" max="5136" width="0" style="3" hidden="1" customWidth="1"/>
    <col min="5137" max="5376" width="9.140625" style="3"/>
    <col min="5377" max="5377" width="4" style="3" customWidth="1"/>
    <col min="5378" max="5378" width="6.7109375" style="3" customWidth="1"/>
    <col min="5379" max="5379" width="53.140625" style="3" customWidth="1"/>
    <col min="5380" max="5380" width="10.7109375" style="3" customWidth="1"/>
    <col min="5381" max="5382" width="7.5703125" style="3" customWidth="1"/>
    <col min="5383" max="5384" width="7.42578125" style="3" customWidth="1"/>
    <col min="5385" max="5386" width="7.85546875" style="3" customWidth="1"/>
    <col min="5387" max="5387" width="7.28515625" style="3" customWidth="1"/>
    <col min="5388" max="5392" width="0" style="3" hidden="1" customWidth="1"/>
    <col min="5393" max="5632" width="9.140625" style="3"/>
    <col min="5633" max="5633" width="4" style="3" customWidth="1"/>
    <col min="5634" max="5634" width="6.7109375" style="3" customWidth="1"/>
    <col min="5635" max="5635" width="53.140625" style="3" customWidth="1"/>
    <col min="5636" max="5636" width="10.7109375" style="3" customWidth="1"/>
    <col min="5637" max="5638" width="7.5703125" style="3" customWidth="1"/>
    <col min="5639" max="5640" width="7.42578125" style="3" customWidth="1"/>
    <col min="5641" max="5642" width="7.85546875" style="3" customWidth="1"/>
    <col min="5643" max="5643" width="7.28515625" style="3" customWidth="1"/>
    <col min="5644" max="5648" width="0" style="3" hidden="1" customWidth="1"/>
    <col min="5649" max="5888" width="9.140625" style="3"/>
    <col min="5889" max="5889" width="4" style="3" customWidth="1"/>
    <col min="5890" max="5890" width="6.7109375" style="3" customWidth="1"/>
    <col min="5891" max="5891" width="53.140625" style="3" customWidth="1"/>
    <col min="5892" max="5892" width="10.7109375" style="3" customWidth="1"/>
    <col min="5893" max="5894" width="7.5703125" style="3" customWidth="1"/>
    <col min="5895" max="5896" width="7.42578125" style="3" customWidth="1"/>
    <col min="5897" max="5898" width="7.85546875" style="3" customWidth="1"/>
    <col min="5899" max="5899" width="7.28515625" style="3" customWidth="1"/>
    <col min="5900" max="5904" width="0" style="3" hidden="1" customWidth="1"/>
    <col min="5905" max="6144" width="9.140625" style="3"/>
    <col min="6145" max="6145" width="4" style="3" customWidth="1"/>
    <col min="6146" max="6146" width="6.7109375" style="3" customWidth="1"/>
    <col min="6147" max="6147" width="53.140625" style="3" customWidth="1"/>
    <col min="6148" max="6148" width="10.7109375" style="3" customWidth="1"/>
    <col min="6149" max="6150" width="7.5703125" style="3" customWidth="1"/>
    <col min="6151" max="6152" width="7.42578125" style="3" customWidth="1"/>
    <col min="6153" max="6154" width="7.85546875" style="3" customWidth="1"/>
    <col min="6155" max="6155" width="7.28515625" style="3" customWidth="1"/>
    <col min="6156" max="6160" width="0" style="3" hidden="1" customWidth="1"/>
    <col min="6161" max="6400" width="9.140625" style="3"/>
    <col min="6401" max="6401" width="4" style="3" customWidth="1"/>
    <col min="6402" max="6402" width="6.7109375" style="3" customWidth="1"/>
    <col min="6403" max="6403" width="53.140625" style="3" customWidth="1"/>
    <col min="6404" max="6404" width="10.7109375" style="3" customWidth="1"/>
    <col min="6405" max="6406" width="7.5703125" style="3" customWidth="1"/>
    <col min="6407" max="6408" width="7.42578125" style="3" customWidth="1"/>
    <col min="6409" max="6410" width="7.85546875" style="3" customWidth="1"/>
    <col min="6411" max="6411" width="7.28515625" style="3" customWidth="1"/>
    <col min="6412" max="6416" width="0" style="3" hidden="1" customWidth="1"/>
    <col min="6417" max="6656" width="9.140625" style="3"/>
    <col min="6657" max="6657" width="4" style="3" customWidth="1"/>
    <col min="6658" max="6658" width="6.7109375" style="3" customWidth="1"/>
    <col min="6659" max="6659" width="53.140625" style="3" customWidth="1"/>
    <col min="6660" max="6660" width="10.7109375" style="3" customWidth="1"/>
    <col min="6661" max="6662" width="7.5703125" style="3" customWidth="1"/>
    <col min="6663" max="6664" width="7.42578125" style="3" customWidth="1"/>
    <col min="6665" max="6666" width="7.85546875" style="3" customWidth="1"/>
    <col min="6667" max="6667" width="7.28515625" style="3" customWidth="1"/>
    <col min="6668" max="6672" width="0" style="3" hidden="1" customWidth="1"/>
    <col min="6673" max="6912" width="9.140625" style="3"/>
    <col min="6913" max="6913" width="4" style="3" customWidth="1"/>
    <col min="6914" max="6914" width="6.7109375" style="3" customWidth="1"/>
    <col min="6915" max="6915" width="53.140625" style="3" customWidth="1"/>
    <col min="6916" max="6916" width="10.7109375" style="3" customWidth="1"/>
    <col min="6917" max="6918" width="7.5703125" style="3" customWidth="1"/>
    <col min="6919" max="6920" width="7.42578125" style="3" customWidth="1"/>
    <col min="6921" max="6922" width="7.85546875" style="3" customWidth="1"/>
    <col min="6923" max="6923" width="7.28515625" style="3" customWidth="1"/>
    <col min="6924" max="6928" width="0" style="3" hidden="1" customWidth="1"/>
    <col min="6929" max="7168" width="9.140625" style="3"/>
    <col min="7169" max="7169" width="4" style="3" customWidth="1"/>
    <col min="7170" max="7170" width="6.7109375" style="3" customWidth="1"/>
    <col min="7171" max="7171" width="53.140625" style="3" customWidth="1"/>
    <col min="7172" max="7172" width="10.7109375" style="3" customWidth="1"/>
    <col min="7173" max="7174" width="7.5703125" style="3" customWidth="1"/>
    <col min="7175" max="7176" width="7.42578125" style="3" customWidth="1"/>
    <col min="7177" max="7178" width="7.85546875" style="3" customWidth="1"/>
    <col min="7179" max="7179" width="7.28515625" style="3" customWidth="1"/>
    <col min="7180" max="7184" width="0" style="3" hidden="1" customWidth="1"/>
    <col min="7185" max="7424" width="9.140625" style="3"/>
    <col min="7425" max="7425" width="4" style="3" customWidth="1"/>
    <col min="7426" max="7426" width="6.7109375" style="3" customWidth="1"/>
    <col min="7427" max="7427" width="53.140625" style="3" customWidth="1"/>
    <col min="7428" max="7428" width="10.7109375" style="3" customWidth="1"/>
    <col min="7429" max="7430" width="7.5703125" style="3" customWidth="1"/>
    <col min="7431" max="7432" width="7.42578125" style="3" customWidth="1"/>
    <col min="7433" max="7434" width="7.85546875" style="3" customWidth="1"/>
    <col min="7435" max="7435" width="7.28515625" style="3" customWidth="1"/>
    <col min="7436" max="7440" width="0" style="3" hidden="1" customWidth="1"/>
    <col min="7441" max="7680" width="9.140625" style="3"/>
    <col min="7681" max="7681" width="4" style="3" customWidth="1"/>
    <col min="7682" max="7682" width="6.7109375" style="3" customWidth="1"/>
    <col min="7683" max="7683" width="53.140625" style="3" customWidth="1"/>
    <col min="7684" max="7684" width="10.7109375" style="3" customWidth="1"/>
    <col min="7685" max="7686" width="7.5703125" style="3" customWidth="1"/>
    <col min="7687" max="7688" width="7.42578125" style="3" customWidth="1"/>
    <col min="7689" max="7690" width="7.85546875" style="3" customWidth="1"/>
    <col min="7691" max="7691" width="7.28515625" style="3" customWidth="1"/>
    <col min="7692" max="7696" width="0" style="3" hidden="1" customWidth="1"/>
    <col min="7697" max="7936" width="9.140625" style="3"/>
    <col min="7937" max="7937" width="4" style="3" customWidth="1"/>
    <col min="7938" max="7938" width="6.7109375" style="3" customWidth="1"/>
    <col min="7939" max="7939" width="53.140625" style="3" customWidth="1"/>
    <col min="7940" max="7940" width="10.7109375" style="3" customWidth="1"/>
    <col min="7941" max="7942" width="7.5703125" style="3" customWidth="1"/>
    <col min="7943" max="7944" width="7.42578125" style="3" customWidth="1"/>
    <col min="7945" max="7946" width="7.85546875" style="3" customWidth="1"/>
    <col min="7947" max="7947" width="7.28515625" style="3" customWidth="1"/>
    <col min="7948" max="7952" width="0" style="3" hidden="1" customWidth="1"/>
    <col min="7953" max="8192" width="9.140625" style="3"/>
    <col min="8193" max="8193" width="4" style="3" customWidth="1"/>
    <col min="8194" max="8194" width="6.7109375" style="3" customWidth="1"/>
    <col min="8195" max="8195" width="53.140625" style="3" customWidth="1"/>
    <col min="8196" max="8196" width="10.7109375" style="3" customWidth="1"/>
    <col min="8197" max="8198" width="7.5703125" style="3" customWidth="1"/>
    <col min="8199" max="8200" width="7.42578125" style="3" customWidth="1"/>
    <col min="8201" max="8202" width="7.85546875" style="3" customWidth="1"/>
    <col min="8203" max="8203" width="7.28515625" style="3" customWidth="1"/>
    <col min="8204" max="8208" width="0" style="3" hidden="1" customWidth="1"/>
    <col min="8209" max="8448" width="9.140625" style="3"/>
    <col min="8449" max="8449" width="4" style="3" customWidth="1"/>
    <col min="8450" max="8450" width="6.7109375" style="3" customWidth="1"/>
    <col min="8451" max="8451" width="53.140625" style="3" customWidth="1"/>
    <col min="8452" max="8452" width="10.7109375" style="3" customWidth="1"/>
    <col min="8453" max="8454" width="7.5703125" style="3" customWidth="1"/>
    <col min="8455" max="8456" width="7.42578125" style="3" customWidth="1"/>
    <col min="8457" max="8458" width="7.85546875" style="3" customWidth="1"/>
    <col min="8459" max="8459" width="7.28515625" style="3" customWidth="1"/>
    <col min="8460" max="8464" width="0" style="3" hidden="1" customWidth="1"/>
    <col min="8465" max="8704" width="9.140625" style="3"/>
    <col min="8705" max="8705" width="4" style="3" customWidth="1"/>
    <col min="8706" max="8706" width="6.7109375" style="3" customWidth="1"/>
    <col min="8707" max="8707" width="53.140625" style="3" customWidth="1"/>
    <col min="8708" max="8708" width="10.7109375" style="3" customWidth="1"/>
    <col min="8709" max="8710" width="7.5703125" style="3" customWidth="1"/>
    <col min="8711" max="8712" width="7.42578125" style="3" customWidth="1"/>
    <col min="8713" max="8714" width="7.85546875" style="3" customWidth="1"/>
    <col min="8715" max="8715" width="7.28515625" style="3" customWidth="1"/>
    <col min="8716" max="8720" width="0" style="3" hidden="1" customWidth="1"/>
    <col min="8721" max="8960" width="9.140625" style="3"/>
    <col min="8961" max="8961" width="4" style="3" customWidth="1"/>
    <col min="8962" max="8962" width="6.7109375" style="3" customWidth="1"/>
    <col min="8963" max="8963" width="53.140625" style="3" customWidth="1"/>
    <col min="8964" max="8964" width="10.7109375" style="3" customWidth="1"/>
    <col min="8965" max="8966" width="7.5703125" style="3" customWidth="1"/>
    <col min="8967" max="8968" width="7.42578125" style="3" customWidth="1"/>
    <col min="8969" max="8970" width="7.85546875" style="3" customWidth="1"/>
    <col min="8971" max="8971" width="7.28515625" style="3" customWidth="1"/>
    <col min="8972" max="8976" width="0" style="3" hidden="1" customWidth="1"/>
    <col min="8977" max="9216" width="9.140625" style="3"/>
    <col min="9217" max="9217" width="4" style="3" customWidth="1"/>
    <col min="9218" max="9218" width="6.7109375" style="3" customWidth="1"/>
    <col min="9219" max="9219" width="53.140625" style="3" customWidth="1"/>
    <col min="9220" max="9220" width="10.7109375" style="3" customWidth="1"/>
    <col min="9221" max="9222" width="7.5703125" style="3" customWidth="1"/>
    <col min="9223" max="9224" width="7.42578125" style="3" customWidth="1"/>
    <col min="9225" max="9226" width="7.85546875" style="3" customWidth="1"/>
    <col min="9227" max="9227" width="7.28515625" style="3" customWidth="1"/>
    <col min="9228" max="9232" width="0" style="3" hidden="1" customWidth="1"/>
    <col min="9233" max="9472" width="9.140625" style="3"/>
    <col min="9473" max="9473" width="4" style="3" customWidth="1"/>
    <col min="9474" max="9474" width="6.7109375" style="3" customWidth="1"/>
    <col min="9475" max="9475" width="53.140625" style="3" customWidth="1"/>
    <col min="9476" max="9476" width="10.7109375" style="3" customWidth="1"/>
    <col min="9477" max="9478" width="7.5703125" style="3" customWidth="1"/>
    <col min="9479" max="9480" width="7.42578125" style="3" customWidth="1"/>
    <col min="9481" max="9482" width="7.85546875" style="3" customWidth="1"/>
    <col min="9483" max="9483" width="7.28515625" style="3" customWidth="1"/>
    <col min="9484" max="9488" width="0" style="3" hidden="1" customWidth="1"/>
    <col min="9489" max="9728" width="9.140625" style="3"/>
    <col min="9729" max="9729" width="4" style="3" customWidth="1"/>
    <col min="9730" max="9730" width="6.7109375" style="3" customWidth="1"/>
    <col min="9731" max="9731" width="53.140625" style="3" customWidth="1"/>
    <col min="9732" max="9732" width="10.7109375" style="3" customWidth="1"/>
    <col min="9733" max="9734" width="7.5703125" style="3" customWidth="1"/>
    <col min="9735" max="9736" width="7.42578125" style="3" customWidth="1"/>
    <col min="9737" max="9738" width="7.85546875" style="3" customWidth="1"/>
    <col min="9739" max="9739" width="7.28515625" style="3" customWidth="1"/>
    <col min="9740" max="9744" width="0" style="3" hidden="1" customWidth="1"/>
    <col min="9745" max="9984" width="9.140625" style="3"/>
    <col min="9985" max="9985" width="4" style="3" customWidth="1"/>
    <col min="9986" max="9986" width="6.7109375" style="3" customWidth="1"/>
    <col min="9987" max="9987" width="53.140625" style="3" customWidth="1"/>
    <col min="9988" max="9988" width="10.7109375" style="3" customWidth="1"/>
    <col min="9989" max="9990" width="7.5703125" style="3" customWidth="1"/>
    <col min="9991" max="9992" width="7.42578125" style="3" customWidth="1"/>
    <col min="9993" max="9994" width="7.85546875" style="3" customWidth="1"/>
    <col min="9995" max="9995" width="7.28515625" style="3" customWidth="1"/>
    <col min="9996" max="10000" width="0" style="3" hidden="1" customWidth="1"/>
    <col min="10001" max="10240" width="9.140625" style="3"/>
    <col min="10241" max="10241" width="4" style="3" customWidth="1"/>
    <col min="10242" max="10242" width="6.7109375" style="3" customWidth="1"/>
    <col min="10243" max="10243" width="53.140625" style="3" customWidth="1"/>
    <col min="10244" max="10244" width="10.7109375" style="3" customWidth="1"/>
    <col min="10245" max="10246" width="7.5703125" style="3" customWidth="1"/>
    <col min="10247" max="10248" width="7.42578125" style="3" customWidth="1"/>
    <col min="10249" max="10250" width="7.85546875" style="3" customWidth="1"/>
    <col min="10251" max="10251" width="7.28515625" style="3" customWidth="1"/>
    <col min="10252" max="10256" width="0" style="3" hidden="1" customWidth="1"/>
    <col min="10257" max="10496" width="9.140625" style="3"/>
    <col min="10497" max="10497" width="4" style="3" customWidth="1"/>
    <col min="10498" max="10498" width="6.7109375" style="3" customWidth="1"/>
    <col min="10499" max="10499" width="53.140625" style="3" customWidth="1"/>
    <col min="10500" max="10500" width="10.7109375" style="3" customWidth="1"/>
    <col min="10501" max="10502" width="7.5703125" style="3" customWidth="1"/>
    <col min="10503" max="10504" width="7.42578125" style="3" customWidth="1"/>
    <col min="10505" max="10506" width="7.85546875" style="3" customWidth="1"/>
    <col min="10507" max="10507" width="7.28515625" style="3" customWidth="1"/>
    <col min="10508" max="10512" width="0" style="3" hidden="1" customWidth="1"/>
    <col min="10513" max="10752" width="9.140625" style="3"/>
    <col min="10753" max="10753" width="4" style="3" customWidth="1"/>
    <col min="10754" max="10754" width="6.7109375" style="3" customWidth="1"/>
    <col min="10755" max="10755" width="53.140625" style="3" customWidth="1"/>
    <col min="10756" max="10756" width="10.7109375" style="3" customWidth="1"/>
    <col min="10757" max="10758" width="7.5703125" style="3" customWidth="1"/>
    <col min="10759" max="10760" width="7.42578125" style="3" customWidth="1"/>
    <col min="10761" max="10762" width="7.85546875" style="3" customWidth="1"/>
    <col min="10763" max="10763" width="7.28515625" style="3" customWidth="1"/>
    <col min="10764" max="10768" width="0" style="3" hidden="1" customWidth="1"/>
    <col min="10769" max="11008" width="9.140625" style="3"/>
    <col min="11009" max="11009" width="4" style="3" customWidth="1"/>
    <col min="11010" max="11010" width="6.7109375" style="3" customWidth="1"/>
    <col min="11011" max="11011" width="53.140625" style="3" customWidth="1"/>
    <col min="11012" max="11012" width="10.7109375" style="3" customWidth="1"/>
    <col min="11013" max="11014" width="7.5703125" style="3" customWidth="1"/>
    <col min="11015" max="11016" width="7.42578125" style="3" customWidth="1"/>
    <col min="11017" max="11018" width="7.85546875" style="3" customWidth="1"/>
    <col min="11019" max="11019" width="7.28515625" style="3" customWidth="1"/>
    <col min="11020" max="11024" width="0" style="3" hidden="1" customWidth="1"/>
    <col min="11025" max="11264" width="9.140625" style="3"/>
    <col min="11265" max="11265" width="4" style="3" customWidth="1"/>
    <col min="11266" max="11266" width="6.7109375" style="3" customWidth="1"/>
    <col min="11267" max="11267" width="53.140625" style="3" customWidth="1"/>
    <col min="11268" max="11268" width="10.7109375" style="3" customWidth="1"/>
    <col min="11269" max="11270" width="7.5703125" style="3" customWidth="1"/>
    <col min="11271" max="11272" width="7.42578125" style="3" customWidth="1"/>
    <col min="11273" max="11274" width="7.85546875" style="3" customWidth="1"/>
    <col min="11275" max="11275" width="7.28515625" style="3" customWidth="1"/>
    <col min="11276" max="11280" width="0" style="3" hidden="1" customWidth="1"/>
    <col min="11281" max="11520" width="9.140625" style="3"/>
    <col min="11521" max="11521" width="4" style="3" customWidth="1"/>
    <col min="11522" max="11522" width="6.7109375" style="3" customWidth="1"/>
    <col min="11523" max="11523" width="53.140625" style="3" customWidth="1"/>
    <col min="11524" max="11524" width="10.7109375" style="3" customWidth="1"/>
    <col min="11525" max="11526" width="7.5703125" style="3" customWidth="1"/>
    <col min="11527" max="11528" width="7.42578125" style="3" customWidth="1"/>
    <col min="11529" max="11530" width="7.85546875" style="3" customWidth="1"/>
    <col min="11531" max="11531" width="7.28515625" style="3" customWidth="1"/>
    <col min="11532" max="11536" width="0" style="3" hidden="1" customWidth="1"/>
    <col min="11537" max="11776" width="9.140625" style="3"/>
    <col min="11777" max="11777" width="4" style="3" customWidth="1"/>
    <col min="11778" max="11778" width="6.7109375" style="3" customWidth="1"/>
    <col min="11779" max="11779" width="53.140625" style="3" customWidth="1"/>
    <col min="11780" max="11780" width="10.7109375" style="3" customWidth="1"/>
    <col min="11781" max="11782" width="7.5703125" style="3" customWidth="1"/>
    <col min="11783" max="11784" width="7.42578125" style="3" customWidth="1"/>
    <col min="11785" max="11786" width="7.85546875" style="3" customWidth="1"/>
    <col min="11787" max="11787" width="7.28515625" style="3" customWidth="1"/>
    <col min="11788" max="11792" width="0" style="3" hidden="1" customWidth="1"/>
    <col min="11793" max="12032" width="9.140625" style="3"/>
    <col min="12033" max="12033" width="4" style="3" customWidth="1"/>
    <col min="12034" max="12034" width="6.7109375" style="3" customWidth="1"/>
    <col min="12035" max="12035" width="53.140625" style="3" customWidth="1"/>
    <col min="12036" max="12036" width="10.7109375" style="3" customWidth="1"/>
    <col min="12037" max="12038" width="7.5703125" style="3" customWidth="1"/>
    <col min="12039" max="12040" width="7.42578125" style="3" customWidth="1"/>
    <col min="12041" max="12042" width="7.85546875" style="3" customWidth="1"/>
    <col min="12043" max="12043" width="7.28515625" style="3" customWidth="1"/>
    <col min="12044" max="12048" width="0" style="3" hidden="1" customWidth="1"/>
    <col min="12049" max="12288" width="9.140625" style="3"/>
    <col min="12289" max="12289" width="4" style="3" customWidth="1"/>
    <col min="12290" max="12290" width="6.7109375" style="3" customWidth="1"/>
    <col min="12291" max="12291" width="53.140625" style="3" customWidth="1"/>
    <col min="12292" max="12292" width="10.7109375" style="3" customWidth="1"/>
    <col min="12293" max="12294" width="7.5703125" style="3" customWidth="1"/>
    <col min="12295" max="12296" width="7.42578125" style="3" customWidth="1"/>
    <col min="12297" max="12298" width="7.85546875" style="3" customWidth="1"/>
    <col min="12299" max="12299" width="7.28515625" style="3" customWidth="1"/>
    <col min="12300" max="12304" width="0" style="3" hidden="1" customWidth="1"/>
    <col min="12305" max="12544" width="9.140625" style="3"/>
    <col min="12545" max="12545" width="4" style="3" customWidth="1"/>
    <col min="12546" max="12546" width="6.7109375" style="3" customWidth="1"/>
    <col min="12547" max="12547" width="53.140625" style="3" customWidth="1"/>
    <col min="12548" max="12548" width="10.7109375" style="3" customWidth="1"/>
    <col min="12549" max="12550" width="7.5703125" style="3" customWidth="1"/>
    <col min="12551" max="12552" width="7.42578125" style="3" customWidth="1"/>
    <col min="12553" max="12554" width="7.85546875" style="3" customWidth="1"/>
    <col min="12555" max="12555" width="7.28515625" style="3" customWidth="1"/>
    <col min="12556" max="12560" width="0" style="3" hidden="1" customWidth="1"/>
    <col min="12561" max="12800" width="9.140625" style="3"/>
    <col min="12801" max="12801" width="4" style="3" customWidth="1"/>
    <col min="12802" max="12802" width="6.7109375" style="3" customWidth="1"/>
    <col min="12803" max="12803" width="53.140625" style="3" customWidth="1"/>
    <col min="12804" max="12804" width="10.7109375" style="3" customWidth="1"/>
    <col min="12805" max="12806" width="7.5703125" style="3" customWidth="1"/>
    <col min="12807" max="12808" width="7.42578125" style="3" customWidth="1"/>
    <col min="12809" max="12810" width="7.85546875" style="3" customWidth="1"/>
    <col min="12811" max="12811" width="7.28515625" style="3" customWidth="1"/>
    <col min="12812" max="12816" width="0" style="3" hidden="1" customWidth="1"/>
    <col min="12817" max="13056" width="9.140625" style="3"/>
    <col min="13057" max="13057" width="4" style="3" customWidth="1"/>
    <col min="13058" max="13058" width="6.7109375" style="3" customWidth="1"/>
    <col min="13059" max="13059" width="53.140625" style="3" customWidth="1"/>
    <col min="13060" max="13060" width="10.7109375" style="3" customWidth="1"/>
    <col min="13061" max="13062" width="7.5703125" style="3" customWidth="1"/>
    <col min="13063" max="13064" width="7.42578125" style="3" customWidth="1"/>
    <col min="13065" max="13066" width="7.85546875" style="3" customWidth="1"/>
    <col min="13067" max="13067" width="7.28515625" style="3" customWidth="1"/>
    <col min="13068" max="13072" width="0" style="3" hidden="1" customWidth="1"/>
    <col min="13073" max="13312" width="9.140625" style="3"/>
    <col min="13313" max="13313" width="4" style="3" customWidth="1"/>
    <col min="13314" max="13314" width="6.7109375" style="3" customWidth="1"/>
    <col min="13315" max="13315" width="53.140625" style="3" customWidth="1"/>
    <col min="13316" max="13316" width="10.7109375" style="3" customWidth="1"/>
    <col min="13317" max="13318" width="7.5703125" style="3" customWidth="1"/>
    <col min="13319" max="13320" width="7.42578125" style="3" customWidth="1"/>
    <col min="13321" max="13322" width="7.85546875" style="3" customWidth="1"/>
    <col min="13323" max="13323" width="7.28515625" style="3" customWidth="1"/>
    <col min="13324" max="13328" width="0" style="3" hidden="1" customWidth="1"/>
    <col min="13329" max="13568" width="9.140625" style="3"/>
    <col min="13569" max="13569" width="4" style="3" customWidth="1"/>
    <col min="13570" max="13570" width="6.7109375" style="3" customWidth="1"/>
    <col min="13571" max="13571" width="53.140625" style="3" customWidth="1"/>
    <col min="13572" max="13572" width="10.7109375" style="3" customWidth="1"/>
    <col min="13573" max="13574" width="7.5703125" style="3" customWidth="1"/>
    <col min="13575" max="13576" width="7.42578125" style="3" customWidth="1"/>
    <col min="13577" max="13578" width="7.85546875" style="3" customWidth="1"/>
    <col min="13579" max="13579" width="7.28515625" style="3" customWidth="1"/>
    <col min="13580" max="13584" width="0" style="3" hidden="1" customWidth="1"/>
    <col min="13585" max="13824" width="9.140625" style="3"/>
    <col min="13825" max="13825" width="4" style="3" customWidth="1"/>
    <col min="13826" max="13826" width="6.7109375" style="3" customWidth="1"/>
    <col min="13827" max="13827" width="53.140625" style="3" customWidth="1"/>
    <col min="13828" max="13828" width="10.7109375" style="3" customWidth="1"/>
    <col min="13829" max="13830" width="7.5703125" style="3" customWidth="1"/>
    <col min="13831" max="13832" width="7.42578125" style="3" customWidth="1"/>
    <col min="13833" max="13834" width="7.85546875" style="3" customWidth="1"/>
    <col min="13835" max="13835" width="7.28515625" style="3" customWidth="1"/>
    <col min="13836" max="13840" width="0" style="3" hidden="1" customWidth="1"/>
    <col min="13841" max="14080" width="9.140625" style="3"/>
    <col min="14081" max="14081" width="4" style="3" customWidth="1"/>
    <col min="14082" max="14082" width="6.7109375" style="3" customWidth="1"/>
    <col min="14083" max="14083" width="53.140625" style="3" customWidth="1"/>
    <col min="14084" max="14084" width="10.7109375" style="3" customWidth="1"/>
    <col min="14085" max="14086" width="7.5703125" style="3" customWidth="1"/>
    <col min="14087" max="14088" width="7.42578125" style="3" customWidth="1"/>
    <col min="14089" max="14090" width="7.85546875" style="3" customWidth="1"/>
    <col min="14091" max="14091" width="7.28515625" style="3" customWidth="1"/>
    <col min="14092" max="14096" width="0" style="3" hidden="1" customWidth="1"/>
    <col min="14097" max="14336" width="9.140625" style="3"/>
    <col min="14337" max="14337" width="4" style="3" customWidth="1"/>
    <col min="14338" max="14338" width="6.7109375" style="3" customWidth="1"/>
    <col min="14339" max="14339" width="53.140625" style="3" customWidth="1"/>
    <col min="14340" max="14340" width="10.7109375" style="3" customWidth="1"/>
    <col min="14341" max="14342" width="7.5703125" style="3" customWidth="1"/>
    <col min="14343" max="14344" width="7.42578125" style="3" customWidth="1"/>
    <col min="14345" max="14346" width="7.85546875" style="3" customWidth="1"/>
    <col min="14347" max="14347" width="7.28515625" style="3" customWidth="1"/>
    <col min="14348" max="14352" width="0" style="3" hidden="1" customWidth="1"/>
    <col min="14353" max="14592" width="9.140625" style="3"/>
    <col min="14593" max="14593" width="4" style="3" customWidth="1"/>
    <col min="14594" max="14594" width="6.7109375" style="3" customWidth="1"/>
    <col min="14595" max="14595" width="53.140625" style="3" customWidth="1"/>
    <col min="14596" max="14596" width="10.7109375" style="3" customWidth="1"/>
    <col min="14597" max="14598" width="7.5703125" style="3" customWidth="1"/>
    <col min="14599" max="14600" width="7.42578125" style="3" customWidth="1"/>
    <col min="14601" max="14602" width="7.85546875" style="3" customWidth="1"/>
    <col min="14603" max="14603" width="7.28515625" style="3" customWidth="1"/>
    <col min="14604" max="14608" width="0" style="3" hidden="1" customWidth="1"/>
    <col min="14609" max="14848" width="9.140625" style="3"/>
    <col min="14849" max="14849" width="4" style="3" customWidth="1"/>
    <col min="14850" max="14850" width="6.7109375" style="3" customWidth="1"/>
    <col min="14851" max="14851" width="53.140625" style="3" customWidth="1"/>
    <col min="14852" max="14852" width="10.7109375" style="3" customWidth="1"/>
    <col min="14853" max="14854" width="7.5703125" style="3" customWidth="1"/>
    <col min="14855" max="14856" width="7.42578125" style="3" customWidth="1"/>
    <col min="14857" max="14858" width="7.85546875" style="3" customWidth="1"/>
    <col min="14859" max="14859" width="7.28515625" style="3" customWidth="1"/>
    <col min="14860" max="14864" width="0" style="3" hidden="1" customWidth="1"/>
    <col min="14865" max="15104" width="9.140625" style="3"/>
    <col min="15105" max="15105" width="4" style="3" customWidth="1"/>
    <col min="15106" max="15106" width="6.7109375" style="3" customWidth="1"/>
    <col min="15107" max="15107" width="53.140625" style="3" customWidth="1"/>
    <col min="15108" max="15108" width="10.7109375" style="3" customWidth="1"/>
    <col min="15109" max="15110" width="7.5703125" style="3" customWidth="1"/>
    <col min="15111" max="15112" width="7.42578125" style="3" customWidth="1"/>
    <col min="15113" max="15114" width="7.85546875" style="3" customWidth="1"/>
    <col min="15115" max="15115" width="7.28515625" style="3" customWidth="1"/>
    <col min="15116" max="15120" width="0" style="3" hidden="1" customWidth="1"/>
    <col min="15121" max="15360" width="9.140625" style="3"/>
    <col min="15361" max="15361" width="4" style="3" customWidth="1"/>
    <col min="15362" max="15362" width="6.7109375" style="3" customWidth="1"/>
    <col min="15363" max="15363" width="53.140625" style="3" customWidth="1"/>
    <col min="15364" max="15364" width="10.7109375" style="3" customWidth="1"/>
    <col min="15365" max="15366" width="7.5703125" style="3" customWidth="1"/>
    <col min="15367" max="15368" width="7.42578125" style="3" customWidth="1"/>
    <col min="15369" max="15370" width="7.85546875" style="3" customWidth="1"/>
    <col min="15371" max="15371" width="7.28515625" style="3" customWidth="1"/>
    <col min="15372" max="15376" width="0" style="3" hidden="1" customWidth="1"/>
    <col min="15377" max="15616" width="9.140625" style="3"/>
    <col min="15617" max="15617" width="4" style="3" customWidth="1"/>
    <col min="15618" max="15618" width="6.7109375" style="3" customWidth="1"/>
    <col min="15619" max="15619" width="53.140625" style="3" customWidth="1"/>
    <col min="15620" max="15620" width="10.7109375" style="3" customWidth="1"/>
    <col min="15621" max="15622" width="7.5703125" style="3" customWidth="1"/>
    <col min="15623" max="15624" width="7.42578125" style="3" customWidth="1"/>
    <col min="15625" max="15626" width="7.85546875" style="3" customWidth="1"/>
    <col min="15627" max="15627" width="7.28515625" style="3" customWidth="1"/>
    <col min="15628" max="15632" width="0" style="3" hidden="1" customWidth="1"/>
    <col min="15633" max="15872" width="9.140625" style="3"/>
    <col min="15873" max="15873" width="4" style="3" customWidth="1"/>
    <col min="15874" max="15874" width="6.7109375" style="3" customWidth="1"/>
    <col min="15875" max="15875" width="53.140625" style="3" customWidth="1"/>
    <col min="15876" max="15876" width="10.7109375" style="3" customWidth="1"/>
    <col min="15877" max="15878" width="7.5703125" style="3" customWidth="1"/>
    <col min="15879" max="15880" width="7.42578125" style="3" customWidth="1"/>
    <col min="15881" max="15882" width="7.85546875" style="3" customWidth="1"/>
    <col min="15883" max="15883" width="7.28515625" style="3" customWidth="1"/>
    <col min="15884" max="15888" width="0" style="3" hidden="1" customWidth="1"/>
    <col min="15889" max="16128" width="9.140625" style="3"/>
    <col min="16129" max="16129" width="4" style="3" customWidth="1"/>
    <col min="16130" max="16130" width="6.7109375" style="3" customWidth="1"/>
    <col min="16131" max="16131" width="53.140625" style="3" customWidth="1"/>
    <col min="16132" max="16132" width="10.7109375" style="3" customWidth="1"/>
    <col min="16133" max="16134" width="7.5703125" style="3" customWidth="1"/>
    <col min="16135" max="16136" width="7.42578125" style="3" customWidth="1"/>
    <col min="16137" max="16138" width="7.85546875" style="3" customWidth="1"/>
    <col min="16139" max="16139" width="7.28515625" style="3" customWidth="1"/>
    <col min="16140" max="16144" width="0" style="3" hidden="1" customWidth="1"/>
    <col min="16145" max="16384" width="9.140625" style="3"/>
  </cols>
  <sheetData>
    <row r="1" spans="1:17" x14ac:dyDescent="0.2">
      <c r="C1" s="239" t="s">
        <v>756</v>
      </c>
      <c r="D1" s="239"/>
      <c r="E1" s="239"/>
      <c r="F1" s="239"/>
      <c r="G1" s="239"/>
      <c r="H1" s="239"/>
      <c r="I1" s="239"/>
      <c r="J1" s="239"/>
      <c r="K1" s="239"/>
      <c r="L1" s="239"/>
      <c r="M1" s="239"/>
      <c r="N1" s="239"/>
      <c r="O1" s="239"/>
      <c r="P1" s="239"/>
      <c r="Q1" s="239"/>
    </row>
    <row r="2" spans="1:17" x14ac:dyDescent="0.2">
      <c r="C2" s="239" t="s">
        <v>761</v>
      </c>
      <c r="D2" s="239"/>
      <c r="E2" s="239"/>
      <c r="F2" s="239"/>
      <c r="G2" s="239"/>
      <c r="H2" s="239"/>
      <c r="I2" s="239"/>
      <c r="J2" s="239"/>
      <c r="K2" s="239"/>
      <c r="L2" s="239"/>
      <c r="M2" s="239"/>
      <c r="N2" s="239"/>
      <c r="O2" s="239"/>
      <c r="P2" s="239"/>
      <c r="Q2" s="239"/>
    </row>
    <row r="3" spans="1:17" hidden="1" x14ac:dyDescent="0.2">
      <c r="C3" s="239" t="s">
        <v>0</v>
      </c>
      <c r="D3" s="239"/>
      <c r="E3" s="239"/>
      <c r="F3" s="239"/>
      <c r="G3" s="239"/>
      <c r="H3" s="239"/>
      <c r="I3" s="239"/>
      <c r="J3" s="239"/>
      <c r="K3" s="239"/>
    </row>
    <row r="4" spans="1:17" x14ac:dyDescent="0.2">
      <c r="E4" s="101"/>
      <c r="F4" s="101"/>
      <c r="G4" s="101"/>
      <c r="H4" s="101"/>
      <c r="I4" s="259" t="s">
        <v>1</v>
      </c>
      <c r="J4" s="259"/>
      <c r="K4" s="259"/>
      <c r="L4" s="259"/>
      <c r="M4" s="259"/>
      <c r="N4" s="259"/>
      <c r="O4" s="259"/>
      <c r="P4" s="259"/>
      <c r="Q4" s="259"/>
    </row>
    <row r="5" spans="1:17" ht="15.75" x14ac:dyDescent="0.2">
      <c r="I5" s="6"/>
      <c r="J5" s="6"/>
      <c r="K5" s="6"/>
    </row>
    <row r="6" spans="1:17" ht="18.75" customHeight="1" x14ac:dyDescent="0.2">
      <c r="A6" s="284" t="s">
        <v>515</v>
      </c>
      <c r="B6" s="284"/>
      <c r="C6" s="284"/>
      <c r="D6" s="284"/>
      <c r="E6" s="284"/>
      <c r="F6" s="284"/>
      <c r="G6" s="284"/>
      <c r="H6" s="284"/>
      <c r="I6" s="284"/>
      <c r="J6" s="284"/>
      <c r="K6" s="284"/>
    </row>
    <row r="7" spans="1:17" x14ac:dyDescent="0.2">
      <c r="J7" s="258" t="s">
        <v>3</v>
      </c>
      <c r="K7" s="258"/>
      <c r="L7" s="258"/>
      <c r="M7" s="258"/>
      <c r="N7" s="258"/>
      <c r="O7" s="258"/>
      <c r="P7" s="258"/>
      <c r="Q7" s="258"/>
    </row>
    <row r="8" spans="1:17" ht="17.45" customHeight="1" x14ac:dyDescent="0.2">
      <c r="A8" s="242" t="s">
        <v>504</v>
      </c>
      <c r="B8" s="242" t="s">
        <v>505</v>
      </c>
      <c r="C8" s="242" t="s">
        <v>6</v>
      </c>
      <c r="D8" s="242" t="s">
        <v>7</v>
      </c>
      <c r="E8" s="246" t="s">
        <v>8</v>
      </c>
      <c r="F8" s="256"/>
      <c r="G8" s="246" t="s">
        <v>9</v>
      </c>
      <c r="H8" s="256"/>
      <c r="I8" s="256"/>
      <c r="J8" s="256"/>
      <c r="K8" s="256"/>
      <c r="L8" s="256"/>
      <c r="M8" s="256"/>
      <c r="N8" s="256"/>
      <c r="O8" s="256"/>
      <c r="P8" s="256"/>
      <c r="Q8" s="247"/>
    </row>
    <row r="9" spans="1:17" ht="0.6" customHeight="1" x14ac:dyDescent="0.2">
      <c r="A9" s="264"/>
      <c r="B9" s="264"/>
      <c r="C9" s="264"/>
      <c r="D9" s="264"/>
      <c r="E9" s="287"/>
      <c r="F9" s="288"/>
      <c r="G9" s="248"/>
      <c r="H9" s="286"/>
      <c r="I9" s="286"/>
      <c r="J9" s="286"/>
      <c r="K9" s="286"/>
      <c r="L9" s="286"/>
      <c r="M9" s="286"/>
      <c r="N9" s="286"/>
      <c r="O9" s="286"/>
      <c r="P9" s="286"/>
      <c r="Q9" s="249"/>
    </row>
    <row r="10" spans="1:17" ht="12.6" hidden="1" customHeight="1" x14ac:dyDescent="0.2">
      <c r="A10" s="264"/>
      <c r="B10" s="264"/>
      <c r="C10" s="264"/>
      <c r="D10" s="264"/>
      <c r="E10" s="248"/>
      <c r="F10" s="286"/>
      <c r="G10" s="240" t="s">
        <v>10</v>
      </c>
      <c r="H10" s="285"/>
      <c r="I10" s="285"/>
      <c r="J10" s="241"/>
      <c r="K10" s="246" t="s">
        <v>11</v>
      </c>
      <c r="L10" s="256"/>
      <c r="M10" s="256"/>
      <c r="N10" s="256"/>
      <c r="O10" s="256"/>
      <c r="P10" s="256"/>
      <c r="Q10" s="247"/>
    </row>
    <row r="11" spans="1:17" ht="27.6" customHeight="1" x14ac:dyDescent="0.2">
      <c r="A11" s="264"/>
      <c r="B11" s="264"/>
      <c r="C11" s="264"/>
      <c r="D11" s="264"/>
      <c r="E11" s="242" t="s">
        <v>12</v>
      </c>
      <c r="F11" s="242" t="s">
        <v>516</v>
      </c>
      <c r="G11" s="240" t="s">
        <v>506</v>
      </c>
      <c r="H11" s="241"/>
      <c r="I11" s="240" t="s">
        <v>14</v>
      </c>
      <c r="J11" s="241"/>
      <c r="K11" s="242" t="s">
        <v>12</v>
      </c>
      <c r="Q11" s="244" t="s">
        <v>13</v>
      </c>
    </row>
    <row r="12" spans="1:17" ht="17.45" customHeight="1" x14ac:dyDescent="0.2">
      <c r="A12" s="243"/>
      <c r="B12" s="243"/>
      <c r="C12" s="243"/>
      <c r="D12" s="243"/>
      <c r="E12" s="243"/>
      <c r="F12" s="243"/>
      <c r="G12" s="8" t="s">
        <v>12</v>
      </c>
      <c r="H12" s="8" t="s">
        <v>516</v>
      </c>
      <c r="I12" s="8" t="s">
        <v>12</v>
      </c>
      <c r="J12" s="8" t="s">
        <v>516</v>
      </c>
      <c r="K12" s="243"/>
      <c r="Q12" s="245"/>
    </row>
    <row r="13" spans="1:17" x14ac:dyDescent="0.2">
      <c r="A13" s="9">
        <v>1</v>
      </c>
      <c r="B13" s="8">
        <v>2</v>
      </c>
      <c r="C13" s="9">
        <v>3</v>
      </c>
      <c r="D13" s="8">
        <v>4</v>
      </c>
      <c r="E13" s="9">
        <v>5</v>
      </c>
      <c r="F13" s="9">
        <v>6</v>
      </c>
      <c r="G13" s="8">
        <v>7</v>
      </c>
      <c r="H13" s="8">
        <v>8</v>
      </c>
      <c r="I13" s="9">
        <v>9</v>
      </c>
      <c r="J13" s="9">
        <v>10</v>
      </c>
      <c r="K13" s="8">
        <v>11</v>
      </c>
      <c r="Q13" s="116">
        <v>12</v>
      </c>
    </row>
    <row r="14" spans="1:17" ht="20.100000000000001" customHeight="1" x14ac:dyDescent="0.2">
      <c r="A14" s="117">
        <v>1</v>
      </c>
      <c r="B14" s="11" t="s">
        <v>16</v>
      </c>
      <c r="C14" s="14" t="s">
        <v>17</v>
      </c>
      <c r="D14" s="9"/>
      <c r="E14" s="58">
        <f>+G14+K14</f>
        <v>159.19999999999996</v>
      </c>
      <c r="F14" s="58">
        <f>+H14+Q14</f>
        <v>122.4</v>
      </c>
      <c r="G14" s="58">
        <f>SUM(G15:G33)</f>
        <v>159.19999999999996</v>
      </c>
      <c r="H14" s="58">
        <f>SUM(H15:H33)</f>
        <v>122.4</v>
      </c>
      <c r="I14" s="58">
        <f>SUM(I15:I33)</f>
        <v>35.5</v>
      </c>
      <c r="J14" s="58">
        <f>SUM(J15:J33)</f>
        <v>26.6</v>
      </c>
      <c r="K14" s="58">
        <f>SUM(K15:K33)</f>
        <v>0</v>
      </c>
      <c r="L14" s="58">
        <f t="shared" ref="L14:Q14" si="0">SUM(L15:L33)</f>
        <v>10.600000000000001</v>
      </c>
      <c r="M14" s="58">
        <f t="shared" si="0"/>
        <v>-1.8999999999999986</v>
      </c>
      <c r="N14" s="58">
        <f t="shared" si="0"/>
        <v>-1.8999999999999986</v>
      </c>
      <c r="O14" s="58">
        <f t="shared" si="0"/>
        <v>12.5</v>
      </c>
      <c r="P14" s="58">
        <f t="shared" si="0"/>
        <v>0</v>
      </c>
      <c r="Q14" s="58">
        <f t="shared" si="0"/>
        <v>0</v>
      </c>
    </row>
    <row r="15" spans="1:17" ht="12.6" customHeight="1" x14ac:dyDescent="0.2">
      <c r="A15" s="117">
        <v>2</v>
      </c>
      <c r="B15" s="76"/>
      <c r="C15" s="104" t="s">
        <v>23</v>
      </c>
      <c r="D15" s="16" t="s">
        <v>21</v>
      </c>
      <c r="E15" s="105">
        <f t="shared" ref="E15:E61" si="1">+G15+K15</f>
        <v>1.1000000000000001</v>
      </c>
      <c r="F15" s="105">
        <f>+H15+Q15</f>
        <v>0.9</v>
      </c>
      <c r="G15" s="105">
        <v>1.1000000000000001</v>
      </c>
      <c r="H15" s="228">
        <f>0.8+0.1</f>
        <v>0.9</v>
      </c>
      <c r="I15" s="105"/>
      <c r="J15" s="105"/>
      <c r="K15" s="105"/>
      <c r="L15" s="22">
        <f t="shared" ref="L15:M60" si="2">+M15+O15</f>
        <v>0</v>
      </c>
      <c r="M15" s="22">
        <f t="shared" si="2"/>
        <v>0</v>
      </c>
      <c r="Q15" s="107"/>
    </row>
    <row r="16" spans="1:17" ht="12.6" customHeight="1" x14ac:dyDescent="0.2">
      <c r="A16" s="117">
        <v>3</v>
      </c>
      <c r="B16" s="76"/>
      <c r="C16" s="104" t="s">
        <v>29</v>
      </c>
      <c r="D16" s="16" t="s">
        <v>30</v>
      </c>
      <c r="E16" s="105">
        <f t="shared" si="1"/>
        <v>8</v>
      </c>
      <c r="F16" s="105">
        <f t="shared" ref="F16:F61" si="3">+H16+Q16</f>
        <v>5.4</v>
      </c>
      <c r="G16" s="105">
        <v>8</v>
      </c>
      <c r="H16" s="105">
        <v>5.4</v>
      </c>
      <c r="I16" s="105"/>
      <c r="J16" s="105"/>
      <c r="K16" s="105"/>
      <c r="L16" s="22">
        <f t="shared" si="2"/>
        <v>0</v>
      </c>
      <c r="M16" s="22">
        <f t="shared" si="2"/>
        <v>0</v>
      </c>
      <c r="Q16" s="107"/>
    </row>
    <row r="17" spans="1:17" ht="12.6" customHeight="1" x14ac:dyDescent="0.2">
      <c r="A17" s="117">
        <v>4</v>
      </c>
      <c r="B17" s="76"/>
      <c r="C17" s="104" t="s">
        <v>31</v>
      </c>
      <c r="D17" s="16" t="s">
        <v>30</v>
      </c>
      <c r="E17" s="105">
        <f t="shared" si="1"/>
        <v>0.60000000000000009</v>
      </c>
      <c r="F17" s="105">
        <f t="shared" si="3"/>
        <v>0.5</v>
      </c>
      <c r="G17" s="105">
        <f>1.6-1</f>
        <v>0.60000000000000009</v>
      </c>
      <c r="H17" s="105">
        <v>0.5</v>
      </c>
      <c r="I17" s="105"/>
      <c r="J17" s="105"/>
      <c r="K17" s="105"/>
      <c r="L17" s="22">
        <f t="shared" si="2"/>
        <v>-1</v>
      </c>
      <c r="M17" s="22">
        <f t="shared" si="2"/>
        <v>-1</v>
      </c>
      <c r="N17" s="3">
        <v>-1</v>
      </c>
      <c r="Q17" s="107"/>
    </row>
    <row r="18" spans="1:17" ht="12.6" customHeight="1" x14ac:dyDescent="0.2">
      <c r="A18" s="117">
        <v>5</v>
      </c>
      <c r="B18" s="76"/>
      <c r="C18" s="109" t="s">
        <v>33</v>
      </c>
      <c r="D18" s="16" t="s">
        <v>30</v>
      </c>
      <c r="E18" s="105">
        <f t="shared" si="1"/>
        <v>1.4</v>
      </c>
      <c r="F18" s="105">
        <f t="shared" si="3"/>
        <v>0.9</v>
      </c>
      <c r="G18" s="105">
        <f>1.7-0.3</f>
        <v>1.4</v>
      </c>
      <c r="H18" s="105">
        <v>0.9</v>
      </c>
      <c r="I18" s="105">
        <f>0.8-0.3</f>
        <v>0.5</v>
      </c>
      <c r="J18" s="105">
        <v>0.3</v>
      </c>
      <c r="K18" s="105"/>
      <c r="L18" s="22">
        <f t="shared" si="2"/>
        <v>-0.6</v>
      </c>
      <c r="M18" s="22">
        <f t="shared" si="2"/>
        <v>-0.3</v>
      </c>
      <c r="N18" s="3">
        <v>-0.3</v>
      </c>
      <c r="O18" s="3">
        <v>-0.3</v>
      </c>
      <c r="Q18" s="107"/>
    </row>
    <row r="19" spans="1:17" ht="12.6" customHeight="1" x14ac:dyDescent="0.2">
      <c r="A19" s="117">
        <v>6</v>
      </c>
      <c r="B19" s="76"/>
      <c r="C19" s="109" t="s">
        <v>34</v>
      </c>
      <c r="D19" s="16" t="s">
        <v>30</v>
      </c>
      <c r="E19" s="105">
        <f t="shared" si="1"/>
        <v>2.2999999999999998</v>
      </c>
      <c r="F19" s="105">
        <f t="shared" si="3"/>
        <v>1.7</v>
      </c>
      <c r="G19" s="105">
        <f>3.3-1</f>
        <v>2.2999999999999998</v>
      </c>
      <c r="H19" s="105">
        <v>1.7</v>
      </c>
      <c r="I19" s="105"/>
      <c r="J19" s="105"/>
      <c r="K19" s="105"/>
      <c r="L19" s="22">
        <f t="shared" si="2"/>
        <v>-1</v>
      </c>
      <c r="M19" s="22">
        <f t="shared" si="2"/>
        <v>-1</v>
      </c>
      <c r="N19" s="3">
        <v>-1</v>
      </c>
      <c r="Q19" s="107"/>
    </row>
    <row r="20" spans="1:17" ht="12.6" customHeight="1" x14ac:dyDescent="0.2">
      <c r="A20" s="117">
        <v>7</v>
      </c>
      <c r="B20" s="76"/>
      <c r="C20" s="109" t="s">
        <v>35</v>
      </c>
      <c r="D20" s="16" t="s">
        <v>30</v>
      </c>
      <c r="E20" s="105">
        <f t="shared" si="1"/>
        <v>3.7</v>
      </c>
      <c r="F20" s="105">
        <f t="shared" si="3"/>
        <v>2.2000000000000002</v>
      </c>
      <c r="G20" s="105">
        <v>3.7</v>
      </c>
      <c r="H20" s="105">
        <v>2.2000000000000002</v>
      </c>
      <c r="I20" s="105"/>
      <c r="J20" s="105"/>
      <c r="K20" s="105"/>
      <c r="L20" s="22">
        <f t="shared" si="2"/>
        <v>0</v>
      </c>
      <c r="M20" s="22">
        <f t="shared" si="2"/>
        <v>0</v>
      </c>
      <c r="Q20" s="107"/>
    </row>
    <row r="21" spans="1:17" ht="12.6" customHeight="1" x14ac:dyDescent="0.2">
      <c r="A21" s="117">
        <v>8</v>
      </c>
      <c r="B21" s="76"/>
      <c r="C21" s="104" t="s">
        <v>36</v>
      </c>
      <c r="D21" s="16" t="s">
        <v>30</v>
      </c>
      <c r="E21" s="105">
        <f t="shared" si="1"/>
        <v>1.6</v>
      </c>
      <c r="F21" s="105">
        <f t="shared" si="3"/>
        <v>0.4</v>
      </c>
      <c r="G21" s="105">
        <f>3.5-1.9</f>
        <v>1.6</v>
      </c>
      <c r="H21" s="105">
        <v>0.4</v>
      </c>
      <c r="I21" s="105"/>
      <c r="J21" s="105"/>
      <c r="K21" s="105"/>
      <c r="L21" s="22">
        <f t="shared" si="2"/>
        <v>-1.9</v>
      </c>
      <c r="M21" s="22">
        <f t="shared" si="2"/>
        <v>-1.9</v>
      </c>
      <c r="N21" s="3">
        <v>-1.9</v>
      </c>
      <c r="Q21" s="107"/>
    </row>
    <row r="22" spans="1:17" ht="12.6" customHeight="1" x14ac:dyDescent="0.2">
      <c r="A22" s="117">
        <v>9</v>
      </c>
      <c r="B22" s="76"/>
      <c r="C22" s="109" t="s">
        <v>37</v>
      </c>
      <c r="D22" s="18" t="s">
        <v>507</v>
      </c>
      <c r="E22" s="105">
        <f t="shared" si="1"/>
        <v>20.9</v>
      </c>
      <c r="F22" s="105">
        <f t="shared" si="3"/>
        <v>19.600000000000001</v>
      </c>
      <c r="G22" s="105">
        <f>24.9-4</f>
        <v>20.9</v>
      </c>
      <c r="H22" s="105">
        <v>19.600000000000001</v>
      </c>
      <c r="I22" s="105"/>
      <c r="J22" s="105"/>
      <c r="K22" s="105"/>
      <c r="L22" s="22">
        <f t="shared" si="2"/>
        <v>-4</v>
      </c>
      <c r="M22" s="22">
        <f t="shared" si="2"/>
        <v>-4</v>
      </c>
      <c r="N22" s="3">
        <v>-4</v>
      </c>
      <c r="Q22" s="107"/>
    </row>
    <row r="23" spans="1:17" ht="12.6" customHeight="1" x14ac:dyDescent="0.2">
      <c r="A23" s="117">
        <v>10</v>
      </c>
      <c r="B23" s="76"/>
      <c r="C23" s="104" t="s">
        <v>39</v>
      </c>
      <c r="D23" s="18" t="s">
        <v>507</v>
      </c>
      <c r="E23" s="105">
        <f t="shared" si="1"/>
        <v>5</v>
      </c>
      <c r="F23" s="105">
        <f t="shared" si="3"/>
        <v>4.0999999999999996</v>
      </c>
      <c r="G23" s="105">
        <v>5</v>
      </c>
      <c r="H23" s="105">
        <v>4.0999999999999996</v>
      </c>
      <c r="I23" s="105"/>
      <c r="J23" s="105"/>
      <c r="K23" s="105"/>
      <c r="L23" s="22">
        <f t="shared" si="2"/>
        <v>0</v>
      </c>
      <c r="M23" s="22">
        <f t="shared" si="2"/>
        <v>0</v>
      </c>
      <c r="Q23" s="107"/>
    </row>
    <row r="24" spans="1:17" ht="12.6" customHeight="1" x14ac:dyDescent="0.2">
      <c r="A24" s="117">
        <v>11</v>
      </c>
      <c r="B24" s="76"/>
      <c r="C24" s="109" t="s">
        <v>41</v>
      </c>
      <c r="D24" s="16" t="s">
        <v>38</v>
      </c>
      <c r="E24" s="105">
        <f t="shared" si="1"/>
        <v>0.4</v>
      </c>
      <c r="F24" s="105">
        <f t="shared" si="3"/>
        <v>0.2</v>
      </c>
      <c r="G24" s="105">
        <v>0.4</v>
      </c>
      <c r="H24" s="105">
        <v>0.2</v>
      </c>
      <c r="I24" s="105"/>
      <c r="J24" s="105"/>
      <c r="K24" s="105"/>
      <c r="L24" s="22">
        <f t="shared" si="2"/>
        <v>0</v>
      </c>
      <c r="M24" s="22">
        <f t="shared" si="2"/>
        <v>0</v>
      </c>
      <c r="Q24" s="107"/>
    </row>
    <row r="25" spans="1:17" ht="12.6" customHeight="1" x14ac:dyDescent="0.2">
      <c r="A25" s="117">
        <v>12</v>
      </c>
      <c r="B25" s="76"/>
      <c r="C25" s="27" t="s">
        <v>509</v>
      </c>
      <c r="D25" s="16" t="s">
        <v>38</v>
      </c>
      <c r="E25" s="105">
        <f t="shared" si="1"/>
        <v>0.1</v>
      </c>
      <c r="F25" s="105">
        <f t="shared" si="3"/>
        <v>0.1</v>
      </c>
      <c r="G25" s="105">
        <v>0.1</v>
      </c>
      <c r="H25" s="105">
        <v>0.1</v>
      </c>
      <c r="I25" s="105"/>
      <c r="J25" s="105"/>
      <c r="K25" s="105"/>
      <c r="L25" s="22">
        <f t="shared" si="2"/>
        <v>0</v>
      </c>
      <c r="M25" s="22">
        <f t="shared" si="2"/>
        <v>0</v>
      </c>
      <c r="Q25" s="107"/>
    </row>
    <row r="26" spans="1:17" ht="12.6" customHeight="1" x14ac:dyDescent="0.2">
      <c r="A26" s="117">
        <v>13</v>
      </c>
      <c r="B26" s="76"/>
      <c r="C26" s="27" t="s">
        <v>44</v>
      </c>
      <c r="D26" s="16" t="s">
        <v>38</v>
      </c>
      <c r="E26" s="105">
        <f t="shared" si="1"/>
        <v>0.49999999999999994</v>
      </c>
      <c r="F26" s="105">
        <f t="shared" si="3"/>
        <v>0.4</v>
      </c>
      <c r="G26" s="105">
        <f>0.7-0.2</f>
        <v>0.49999999999999994</v>
      </c>
      <c r="H26" s="228">
        <f>0.3+0.1</f>
        <v>0.4</v>
      </c>
      <c r="I26" s="105"/>
      <c r="J26" s="105"/>
      <c r="K26" s="105"/>
      <c r="L26" s="22">
        <f t="shared" si="2"/>
        <v>-0.2</v>
      </c>
      <c r="M26" s="22">
        <f t="shared" si="2"/>
        <v>-0.2</v>
      </c>
      <c r="N26" s="3">
        <v>-0.2</v>
      </c>
      <c r="Q26" s="107"/>
    </row>
    <row r="27" spans="1:17" ht="12.6" customHeight="1" x14ac:dyDescent="0.2">
      <c r="A27" s="117">
        <v>14</v>
      </c>
      <c r="B27" s="76"/>
      <c r="C27" s="27" t="s">
        <v>45</v>
      </c>
      <c r="D27" s="16" t="s">
        <v>38</v>
      </c>
      <c r="E27" s="105">
        <f t="shared" si="1"/>
        <v>0.8</v>
      </c>
      <c r="F27" s="105">
        <f t="shared" si="3"/>
        <v>0.6</v>
      </c>
      <c r="G27" s="105">
        <v>0.8</v>
      </c>
      <c r="H27" s="228">
        <f>1-0.4</f>
        <v>0.6</v>
      </c>
      <c r="I27" s="105"/>
      <c r="J27" s="105"/>
      <c r="K27" s="105"/>
      <c r="L27" s="22">
        <f t="shared" si="2"/>
        <v>0</v>
      </c>
      <c r="M27" s="22">
        <f t="shared" si="2"/>
        <v>0</v>
      </c>
      <c r="Q27" s="107"/>
    </row>
    <row r="28" spans="1:17" ht="12.6" customHeight="1" x14ac:dyDescent="0.2">
      <c r="A28" s="117">
        <v>15</v>
      </c>
      <c r="B28" s="76"/>
      <c r="C28" s="109" t="s">
        <v>46</v>
      </c>
      <c r="D28" s="16" t="s">
        <v>30</v>
      </c>
      <c r="E28" s="105">
        <f t="shared" si="1"/>
        <v>41.8</v>
      </c>
      <c r="F28" s="105">
        <f t="shared" si="3"/>
        <v>30.6</v>
      </c>
      <c r="G28" s="105">
        <f>32.3+9.5</f>
        <v>41.8</v>
      </c>
      <c r="H28" s="105">
        <v>30.6</v>
      </c>
      <c r="I28" s="105">
        <f>22.2+12.8</f>
        <v>35</v>
      </c>
      <c r="J28" s="105">
        <v>26.3</v>
      </c>
      <c r="K28" s="105"/>
      <c r="L28" s="22">
        <f t="shared" si="2"/>
        <v>22.3</v>
      </c>
      <c r="M28" s="22">
        <f t="shared" si="2"/>
        <v>9.5</v>
      </c>
      <c r="N28" s="3">
        <v>9.5</v>
      </c>
      <c r="O28" s="3">
        <v>12.8</v>
      </c>
      <c r="Q28" s="107"/>
    </row>
    <row r="29" spans="1:17" ht="12.6" customHeight="1" x14ac:dyDescent="0.2">
      <c r="A29" s="117">
        <v>16</v>
      </c>
      <c r="B29" s="76"/>
      <c r="C29" s="104" t="s">
        <v>48</v>
      </c>
      <c r="D29" s="16" t="s">
        <v>38</v>
      </c>
      <c r="E29" s="105">
        <f t="shared" si="1"/>
        <v>5.3000000000000007</v>
      </c>
      <c r="F29" s="105">
        <f t="shared" si="3"/>
        <v>3.8</v>
      </c>
      <c r="G29" s="105">
        <f>8.3-3</f>
        <v>5.3000000000000007</v>
      </c>
      <c r="H29" s="105">
        <v>3.8</v>
      </c>
      <c r="I29" s="105"/>
      <c r="J29" s="105"/>
      <c r="K29" s="105"/>
      <c r="L29" s="22">
        <f t="shared" si="2"/>
        <v>-3</v>
      </c>
      <c r="M29" s="22">
        <f t="shared" si="2"/>
        <v>-3</v>
      </c>
      <c r="N29" s="3">
        <v>-3</v>
      </c>
      <c r="Q29" s="107"/>
    </row>
    <row r="30" spans="1:17" ht="12.6" customHeight="1" x14ac:dyDescent="0.2">
      <c r="A30" s="117">
        <v>17</v>
      </c>
      <c r="B30" s="76"/>
      <c r="C30" s="104" t="s">
        <v>52</v>
      </c>
      <c r="D30" s="18" t="s">
        <v>50</v>
      </c>
      <c r="E30" s="105">
        <f t="shared" si="1"/>
        <v>0.5</v>
      </c>
      <c r="F30" s="105">
        <f t="shared" si="3"/>
        <v>0.5</v>
      </c>
      <c r="G30" s="105">
        <v>0.5</v>
      </c>
      <c r="H30" s="105">
        <v>0.5</v>
      </c>
      <c r="I30" s="105"/>
      <c r="J30" s="105"/>
      <c r="K30" s="105"/>
      <c r="L30" s="22">
        <f t="shared" si="2"/>
        <v>0</v>
      </c>
      <c r="M30" s="22">
        <f t="shared" si="2"/>
        <v>0</v>
      </c>
      <c r="Q30" s="107"/>
    </row>
    <row r="31" spans="1:17" ht="12.6" customHeight="1" x14ac:dyDescent="0.2">
      <c r="A31" s="117">
        <v>18</v>
      </c>
      <c r="B31" s="76"/>
      <c r="C31" s="17" t="s">
        <v>53</v>
      </c>
      <c r="D31" s="18" t="s">
        <v>50</v>
      </c>
      <c r="E31" s="105">
        <f t="shared" si="1"/>
        <v>1.3</v>
      </c>
      <c r="F31" s="105">
        <f t="shared" si="3"/>
        <v>0.7</v>
      </c>
      <c r="G31" s="105">
        <v>1.3</v>
      </c>
      <c r="H31" s="105">
        <v>0.7</v>
      </c>
      <c r="I31" s="105"/>
      <c r="J31" s="105"/>
      <c r="K31" s="105"/>
      <c r="L31" s="22">
        <f t="shared" si="2"/>
        <v>0</v>
      </c>
      <c r="M31" s="22">
        <f t="shared" si="2"/>
        <v>0</v>
      </c>
      <c r="Q31" s="107"/>
    </row>
    <row r="32" spans="1:17" ht="12.6" customHeight="1" x14ac:dyDescent="0.2">
      <c r="A32" s="117">
        <v>19</v>
      </c>
      <c r="B32" s="76"/>
      <c r="C32" s="104" t="s">
        <v>54</v>
      </c>
      <c r="D32" s="18" t="s">
        <v>50</v>
      </c>
      <c r="E32" s="105">
        <f t="shared" si="1"/>
        <v>46.8</v>
      </c>
      <c r="F32" s="105">
        <f t="shared" si="3"/>
        <v>33</v>
      </c>
      <c r="G32" s="105">
        <v>46.8</v>
      </c>
      <c r="H32" s="105">
        <v>33</v>
      </c>
      <c r="I32" s="105"/>
      <c r="J32" s="105"/>
      <c r="K32" s="105"/>
      <c r="L32" s="22">
        <f t="shared" si="2"/>
        <v>0</v>
      </c>
      <c r="M32" s="22">
        <f t="shared" si="2"/>
        <v>0</v>
      </c>
      <c r="Q32" s="107"/>
    </row>
    <row r="33" spans="1:17" ht="12.6" customHeight="1" x14ac:dyDescent="0.2">
      <c r="A33" s="117">
        <v>20</v>
      </c>
      <c r="B33" s="76"/>
      <c r="C33" s="17" t="s">
        <v>510</v>
      </c>
      <c r="D33" s="16" t="s">
        <v>511</v>
      </c>
      <c r="E33" s="105">
        <f t="shared" si="1"/>
        <v>17.100000000000001</v>
      </c>
      <c r="F33" s="105">
        <f t="shared" si="3"/>
        <v>16.8</v>
      </c>
      <c r="G33" s="105">
        <v>17.100000000000001</v>
      </c>
      <c r="H33" s="105">
        <v>16.8</v>
      </c>
      <c r="I33" s="105"/>
      <c r="J33" s="105"/>
      <c r="K33" s="105"/>
      <c r="L33" s="22">
        <f t="shared" si="2"/>
        <v>0</v>
      </c>
      <c r="M33" s="22">
        <f t="shared" si="2"/>
        <v>0</v>
      </c>
      <c r="Q33" s="107"/>
    </row>
    <row r="34" spans="1:17" ht="20.100000000000001" customHeight="1" x14ac:dyDescent="0.2">
      <c r="A34" s="117">
        <v>21</v>
      </c>
      <c r="B34" s="11" t="s">
        <v>94</v>
      </c>
      <c r="C34" s="51" t="s">
        <v>95</v>
      </c>
      <c r="D34" s="16"/>
      <c r="E34" s="58">
        <f t="shared" si="1"/>
        <v>11.9</v>
      </c>
      <c r="F34" s="58">
        <f t="shared" si="3"/>
        <v>8.4</v>
      </c>
      <c r="G34" s="58">
        <f>SUM(G35:G35)</f>
        <v>11.9</v>
      </c>
      <c r="H34" s="58">
        <f>SUM(H35:H35)</f>
        <v>8.4</v>
      </c>
      <c r="I34" s="58">
        <f>SUM(I35:I35)</f>
        <v>10.5</v>
      </c>
      <c r="J34" s="58">
        <f>SUM(J35:J35)</f>
        <v>7.2</v>
      </c>
      <c r="K34" s="58">
        <f>SUM(K35:K35)</f>
        <v>0</v>
      </c>
      <c r="L34" s="58">
        <f t="shared" ref="L34:Q34" si="4">SUM(L35:L35)</f>
        <v>-2</v>
      </c>
      <c r="M34" s="58">
        <f t="shared" si="4"/>
        <v>-2</v>
      </c>
      <c r="N34" s="58">
        <f t="shared" si="4"/>
        <v>-2</v>
      </c>
      <c r="O34" s="58">
        <f t="shared" si="4"/>
        <v>0</v>
      </c>
      <c r="P34" s="58">
        <f t="shared" si="4"/>
        <v>0</v>
      </c>
      <c r="Q34" s="58">
        <f t="shared" si="4"/>
        <v>0</v>
      </c>
    </row>
    <row r="35" spans="1:17" ht="12.6" customHeight="1" x14ac:dyDescent="0.2">
      <c r="A35" s="117">
        <v>22</v>
      </c>
      <c r="B35" s="76"/>
      <c r="C35" s="118" t="s">
        <v>517</v>
      </c>
      <c r="D35" s="76" t="s">
        <v>518</v>
      </c>
      <c r="E35" s="105">
        <f t="shared" si="1"/>
        <v>11.9</v>
      </c>
      <c r="F35" s="105">
        <f t="shared" si="3"/>
        <v>8.4</v>
      </c>
      <c r="G35" s="105">
        <f>13.9-2</f>
        <v>11.9</v>
      </c>
      <c r="H35" s="105">
        <v>8.4</v>
      </c>
      <c r="I35" s="105">
        <v>10.5</v>
      </c>
      <c r="J35" s="105">
        <v>7.2</v>
      </c>
      <c r="K35" s="105"/>
      <c r="L35" s="22">
        <f t="shared" si="2"/>
        <v>-2</v>
      </c>
      <c r="M35" s="22">
        <f t="shared" si="2"/>
        <v>-2</v>
      </c>
      <c r="N35" s="3">
        <v>-2</v>
      </c>
      <c r="Q35" s="107"/>
    </row>
    <row r="36" spans="1:17" ht="20.100000000000001" customHeight="1" x14ac:dyDescent="0.2">
      <c r="A36" s="117">
        <v>23</v>
      </c>
      <c r="B36" s="11" t="s">
        <v>141</v>
      </c>
      <c r="C36" s="51" t="s">
        <v>142</v>
      </c>
      <c r="D36" s="76"/>
      <c r="E36" s="58">
        <f t="shared" si="1"/>
        <v>20.100000000000001</v>
      </c>
      <c r="F36" s="58">
        <f t="shared" si="3"/>
        <v>20</v>
      </c>
      <c r="G36" s="58">
        <f>SUM(G37:G38)</f>
        <v>20.100000000000001</v>
      </c>
      <c r="H36" s="58">
        <f>SUM(H37:H38)</f>
        <v>20</v>
      </c>
      <c r="I36" s="58">
        <f>SUM(I37:I37)</f>
        <v>0</v>
      </c>
      <c r="J36" s="58">
        <f>SUM(J37:J37)</f>
        <v>0</v>
      </c>
      <c r="K36" s="58">
        <f>SUM(K37:K37)</f>
        <v>0</v>
      </c>
      <c r="L36" s="58">
        <f t="shared" ref="L36:Q36" si="5">SUM(L37:L37)</f>
        <v>0</v>
      </c>
      <c r="M36" s="58">
        <f t="shared" si="5"/>
        <v>0</v>
      </c>
      <c r="N36" s="58">
        <f t="shared" si="5"/>
        <v>0</v>
      </c>
      <c r="O36" s="58">
        <f t="shared" si="5"/>
        <v>0</v>
      </c>
      <c r="P36" s="58">
        <f t="shared" si="5"/>
        <v>0</v>
      </c>
      <c r="Q36" s="58">
        <f t="shared" si="5"/>
        <v>0</v>
      </c>
    </row>
    <row r="37" spans="1:17" ht="27" customHeight="1" x14ac:dyDescent="0.2">
      <c r="A37" s="117">
        <v>24</v>
      </c>
      <c r="B37" s="76"/>
      <c r="C37" s="112" t="s">
        <v>143</v>
      </c>
      <c r="D37" s="64" t="s">
        <v>519</v>
      </c>
      <c r="E37" s="105">
        <f t="shared" si="1"/>
        <v>20</v>
      </c>
      <c r="F37" s="105">
        <f t="shared" si="3"/>
        <v>19.899999999999999</v>
      </c>
      <c r="G37" s="105">
        <f>15.5+4.5</f>
        <v>20</v>
      </c>
      <c r="H37" s="105">
        <v>19.899999999999999</v>
      </c>
      <c r="I37" s="105"/>
      <c r="J37" s="105"/>
      <c r="K37" s="105"/>
      <c r="L37" s="22">
        <f t="shared" si="2"/>
        <v>0</v>
      </c>
      <c r="M37" s="22">
        <f t="shared" si="2"/>
        <v>0</v>
      </c>
      <c r="Q37" s="107"/>
    </row>
    <row r="38" spans="1:17" ht="12.75" customHeight="1" x14ac:dyDescent="0.2">
      <c r="A38" s="117">
        <v>25</v>
      </c>
      <c r="B38" s="76"/>
      <c r="C38" s="112" t="s">
        <v>192</v>
      </c>
      <c r="D38" s="64" t="s">
        <v>520</v>
      </c>
      <c r="E38" s="105">
        <f t="shared" si="1"/>
        <v>0.1</v>
      </c>
      <c r="F38" s="105">
        <f t="shared" si="3"/>
        <v>0.1</v>
      </c>
      <c r="G38" s="105">
        <v>0.1</v>
      </c>
      <c r="H38" s="228">
        <v>0.1</v>
      </c>
      <c r="I38" s="105"/>
      <c r="J38" s="105"/>
      <c r="K38" s="105"/>
      <c r="L38" s="22">
        <f t="shared" si="2"/>
        <v>0</v>
      </c>
      <c r="M38" s="22">
        <f t="shared" si="2"/>
        <v>0</v>
      </c>
      <c r="Q38" s="107"/>
    </row>
    <row r="39" spans="1:17" ht="20.100000000000001" customHeight="1" x14ac:dyDescent="0.2">
      <c r="A39" s="117">
        <v>26</v>
      </c>
      <c r="B39" s="11" t="s">
        <v>226</v>
      </c>
      <c r="C39" s="51" t="s">
        <v>227</v>
      </c>
      <c r="D39" s="16"/>
      <c r="E39" s="58">
        <f t="shared" si="1"/>
        <v>52.500000000000007</v>
      </c>
      <c r="F39" s="58">
        <f t="shared" si="3"/>
        <v>39.9</v>
      </c>
      <c r="G39" s="58">
        <f>SUM(G40:G47)</f>
        <v>48.900000000000006</v>
      </c>
      <c r="H39" s="58">
        <f>SUM(H40:H47)</f>
        <v>36.6</v>
      </c>
      <c r="I39" s="58">
        <f>SUM(I40:I47)</f>
        <v>0</v>
      </c>
      <c r="J39" s="58">
        <f>SUM(J40:J47)</f>
        <v>0</v>
      </c>
      <c r="K39" s="58">
        <f>SUM(K40:K47)</f>
        <v>3.6</v>
      </c>
      <c r="L39" s="58">
        <f t="shared" ref="L39:Q39" si="6">SUM(L40:L47)</f>
        <v>1</v>
      </c>
      <c r="M39" s="58">
        <f t="shared" si="6"/>
        <v>1.4</v>
      </c>
      <c r="N39" s="58">
        <f t="shared" si="6"/>
        <v>-2.2000000000000002</v>
      </c>
      <c r="O39" s="58">
        <f t="shared" si="6"/>
        <v>0</v>
      </c>
      <c r="P39" s="58">
        <f t="shared" si="6"/>
        <v>3.6</v>
      </c>
      <c r="Q39" s="58">
        <f t="shared" si="6"/>
        <v>3.3</v>
      </c>
    </row>
    <row r="40" spans="1:17" ht="12.6" customHeight="1" x14ac:dyDescent="0.2">
      <c r="A40" s="117">
        <v>27</v>
      </c>
      <c r="B40" s="76"/>
      <c r="C40" s="17" t="s">
        <v>228</v>
      </c>
      <c r="D40" s="16" t="s">
        <v>229</v>
      </c>
      <c r="E40" s="105">
        <f t="shared" si="1"/>
        <v>14.6</v>
      </c>
      <c r="F40" s="105">
        <f t="shared" si="3"/>
        <v>14.3</v>
      </c>
      <c r="G40" s="105">
        <v>11</v>
      </c>
      <c r="H40" s="105">
        <v>11</v>
      </c>
      <c r="I40" s="105"/>
      <c r="J40" s="105"/>
      <c r="K40" s="105">
        <v>3.6</v>
      </c>
      <c r="L40" s="22">
        <f t="shared" si="2"/>
        <v>3.6</v>
      </c>
      <c r="M40" s="22">
        <f t="shared" si="2"/>
        <v>3.6</v>
      </c>
      <c r="P40" s="3">
        <v>3.6</v>
      </c>
      <c r="Q40" s="107">
        <v>3.3</v>
      </c>
    </row>
    <row r="41" spans="1:17" ht="12.6" customHeight="1" x14ac:dyDescent="0.2">
      <c r="A41" s="117">
        <v>28</v>
      </c>
      <c r="B41" s="76"/>
      <c r="C41" s="17" t="s">
        <v>230</v>
      </c>
      <c r="D41" s="16" t="s">
        <v>229</v>
      </c>
      <c r="E41" s="105">
        <f t="shared" si="1"/>
        <v>1.8</v>
      </c>
      <c r="F41" s="105">
        <f t="shared" si="3"/>
        <v>1.8</v>
      </c>
      <c r="G41" s="105">
        <v>1.8</v>
      </c>
      <c r="H41" s="228">
        <f>1.7+0.1</f>
        <v>1.8</v>
      </c>
      <c r="I41" s="105"/>
      <c r="J41" s="105"/>
      <c r="K41" s="105"/>
      <c r="L41" s="22">
        <f t="shared" si="2"/>
        <v>0</v>
      </c>
      <c r="M41" s="22">
        <f t="shared" si="2"/>
        <v>0</v>
      </c>
      <c r="Q41" s="107"/>
    </row>
    <row r="42" spans="1:17" ht="12.6" customHeight="1" x14ac:dyDescent="0.2">
      <c r="A42" s="117">
        <v>29</v>
      </c>
      <c r="B42" s="76"/>
      <c r="C42" s="17" t="s">
        <v>231</v>
      </c>
      <c r="D42" s="16" t="s">
        <v>229</v>
      </c>
      <c r="E42" s="105">
        <f t="shared" si="1"/>
        <v>0</v>
      </c>
      <c r="F42" s="105">
        <f t="shared" si="3"/>
        <v>0</v>
      </c>
      <c r="G42" s="105">
        <f>2-2</f>
        <v>0</v>
      </c>
      <c r="H42" s="105">
        <v>0</v>
      </c>
      <c r="I42" s="105"/>
      <c r="J42" s="105"/>
      <c r="K42" s="105"/>
      <c r="L42" s="22">
        <f t="shared" si="2"/>
        <v>-2</v>
      </c>
      <c r="M42" s="22">
        <f t="shared" si="2"/>
        <v>-2</v>
      </c>
      <c r="N42" s="3">
        <v>-2</v>
      </c>
      <c r="Q42" s="107"/>
    </row>
    <row r="43" spans="1:17" ht="12.6" customHeight="1" x14ac:dyDescent="0.2">
      <c r="A43" s="117">
        <v>30</v>
      </c>
      <c r="B43" s="76"/>
      <c r="C43" s="17" t="s">
        <v>232</v>
      </c>
      <c r="D43" s="16" t="s">
        <v>229</v>
      </c>
      <c r="E43" s="105">
        <f t="shared" si="1"/>
        <v>1</v>
      </c>
      <c r="F43" s="105">
        <f t="shared" si="3"/>
        <v>0.9</v>
      </c>
      <c r="G43" s="105">
        <f>0.6+0.4</f>
        <v>1</v>
      </c>
      <c r="H43" s="105">
        <v>0.9</v>
      </c>
      <c r="I43" s="105"/>
      <c r="J43" s="105"/>
      <c r="K43" s="105"/>
      <c r="L43" s="22"/>
      <c r="M43" s="22">
        <f t="shared" si="2"/>
        <v>0.4</v>
      </c>
      <c r="N43" s="3">
        <v>0.4</v>
      </c>
      <c r="Q43" s="107"/>
    </row>
    <row r="44" spans="1:17" ht="12.6" customHeight="1" x14ac:dyDescent="0.2">
      <c r="A44" s="117">
        <v>31</v>
      </c>
      <c r="B44" s="76"/>
      <c r="C44" s="17" t="s">
        <v>233</v>
      </c>
      <c r="D44" s="16" t="s">
        <v>229</v>
      </c>
      <c r="E44" s="105">
        <f t="shared" si="1"/>
        <v>0.10000000000000003</v>
      </c>
      <c r="F44" s="105">
        <f t="shared" si="3"/>
        <v>0.1</v>
      </c>
      <c r="G44" s="105">
        <f>0.4-0.3</f>
        <v>0.10000000000000003</v>
      </c>
      <c r="H44" s="105">
        <v>0.1</v>
      </c>
      <c r="I44" s="105"/>
      <c r="J44" s="105"/>
      <c r="K44" s="105"/>
      <c r="L44" s="22">
        <f t="shared" si="2"/>
        <v>-0.3</v>
      </c>
      <c r="M44" s="22">
        <f t="shared" si="2"/>
        <v>-0.3</v>
      </c>
      <c r="N44" s="3">
        <v>-0.3</v>
      </c>
      <c r="Q44" s="107"/>
    </row>
    <row r="45" spans="1:17" ht="12.6" customHeight="1" x14ac:dyDescent="0.2">
      <c r="A45" s="117">
        <v>32</v>
      </c>
      <c r="B45" s="76"/>
      <c r="C45" s="17" t="s">
        <v>234</v>
      </c>
      <c r="D45" s="16" t="s">
        <v>229</v>
      </c>
      <c r="E45" s="105">
        <f t="shared" si="1"/>
        <v>0.2</v>
      </c>
      <c r="F45" s="105">
        <f t="shared" si="3"/>
        <v>0.2</v>
      </c>
      <c r="G45" s="105">
        <f>0.5-0.3</f>
        <v>0.2</v>
      </c>
      <c r="H45" s="105">
        <v>0.2</v>
      </c>
      <c r="I45" s="105"/>
      <c r="J45" s="105"/>
      <c r="K45" s="105"/>
      <c r="L45" s="22">
        <f t="shared" si="2"/>
        <v>-0.3</v>
      </c>
      <c r="M45" s="22">
        <f t="shared" si="2"/>
        <v>-0.3</v>
      </c>
      <c r="N45" s="3">
        <v>-0.3</v>
      </c>
      <c r="Q45" s="107"/>
    </row>
    <row r="46" spans="1:17" ht="12.6" customHeight="1" x14ac:dyDescent="0.2">
      <c r="A46" s="117">
        <v>33</v>
      </c>
      <c r="B46" s="76"/>
      <c r="C46" s="118" t="s">
        <v>235</v>
      </c>
      <c r="D46" s="76" t="s">
        <v>236</v>
      </c>
      <c r="E46" s="105">
        <f t="shared" si="1"/>
        <v>1.6</v>
      </c>
      <c r="F46" s="105">
        <f t="shared" si="3"/>
        <v>1.3</v>
      </c>
      <c r="G46" s="105">
        <v>1.6</v>
      </c>
      <c r="H46" s="105">
        <v>1.3</v>
      </c>
      <c r="I46" s="105"/>
      <c r="J46" s="105"/>
      <c r="K46" s="105"/>
      <c r="L46" s="22">
        <f t="shared" si="2"/>
        <v>0</v>
      </c>
      <c r="M46" s="22">
        <f t="shared" si="2"/>
        <v>0</v>
      </c>
      <c r="Q46" s="107"/>
    </row>
    <row r="47" spans="1:17" ht="12.6" customHeight="1" x14ac:dyDescent="0.2">
      <c r="A47" s="117">
        <v>34</v>
      </c>
      <c r="B47" s="76"/>
      <c r="C47" s="17" t="s">
        <v>237</v>
      </c>
      <c r="D47" s="18" t="s">
        <v>238</v>
      </c>
      <c r="E47" s="105">
        <f t="shared" si="1"/>
        <v>33.200000000000003</v>
      </c>
      <c r="F47" s="105">
        <f t="shared" si="3"/>
        <v>21.3</v>
      </c>
      <c r="G47" s="105">
        <v>33.200000000000003</v>
      </c>
      <c r="H47" s="105">
        <v>21.3</v>
      </c>
      <c r="I47" s="105"/>
      <c r="J47" s="105"/>
      <c r="K47" s="105"/>
      <c r="L47" s="22">
        <f t="shared" si="2"/>
        <v>0</v>
      </c>
      <c r="M47" s="22">
        <f t="shared" si="2"/>
        <v>0</v>
      </c>
      <c r="Q47" s="107"/>
    </row>
    <row r="48" spans="1:17" ht="20.100000000000001" customHeight="1" x14ac:dyDescent="0.2">
      <c r="A48" s="117">
        <v>35</v>
      </c>
      <c r="B48" s="11" t="s">
        <v>421</v>
      </c>
      <c r="C48" s="51" t="s">
        <v>422</v>
      </c>
      <c r="D48" s="76"/>
      <c r="E48" s="58">
        <f t="shared" si="1"/>
        <v>7.0000000000000009</v>
      </c>
      <c r="F48" s="58">
        <f t="shared" si="3"/>
        <v>4.3</v>
      </c>
      <c r="G48" s="58">
        <f>SUM(G49:G53)</f>
        <v>7.0000000000000009</v>
      </c>
      <c r="H48" s="58">
        <f>SUM(H49:H53)</f>
        <v>4.3</v>
      </c>
      <c r="I48" s="58">
        <f>SUM(I49:I53)</f>
        <v>0</v>
      </c>
      <c r="J48" s="58">
        <f>SUM(J49:J53)</f>
        <v>0</v>
      </c>
      <c r="K48" s="58">
        <f>SUM(K49:K53)</f>
        <v>0</v>
      </c>
      <c r="L48" s="58">
        <f t="shared" ref="L48:Q48" si="7">SUM(L49:L53)</f>
        <v>0</v>
      </c>
      <c r="M48" s="58">
        <f t="shared" si="7"/>
        <v>0</v>
      </c>
      <c r="N48" s="58">
        <f t="shared" si="7"/>
        <v>0</v>
      </c>
      <c r="O48" s="58">
        <f t="shared" si="7"/>
        <v>0</v>
      </c>
      <c r="P48" s="58">
        <f t="shared" si="7"/>
        <v>0</v>
      </c>
      <c r="Q48" s="58">
        <f t="shared" si="7"/>
        <v>0</v>
      </c>
    </row>
    <row r="49" spans="1:17" ht="12.6" customHeight="1" x14ac:dyDescent="0.2">
      <c r="A49" s="117">
        <v>36</v>
      </c>
      <c r="B49" s="76"/>
      <c r="C49" s="112" t="s">
        <v>194</v>
      </c>
      <c r="D49" s="64" t="s">
        <v>521</v>
      </c>
      <c r="E49" s="105">
        <f t="shared" si="1"/>
        <v>2.9</v>
      </c>
      <c r="F49" s="105">
        <f t="shared" si="3"/>
        <v>2.8</v>
      </c>
      <c r="G49" s="105">
        <v>2.9</v>
      </c>
      <c r="H49" s="105">
        <v>2.8</v>
      </c>
      <c r="I49" s="105"/>
      <c r="J49" s="105"/>
      <c r="K49" s="105"/>
      <c r="L49" s="22">
        <f t="shared" si="2"/>
        <v>0</v>
      </c>
      <c r="M49" s="22">
        <f t="shared" si="2"/>
        <v>0</v>
      </c>
      <c r="Q49" s="107"/>
    </row>
    <row r="50" spans="1:17" ht="24" customHeight="1" x14ac:dyDescent="0.2">
      <c r="A50" s="117">
        <v>37</v>
      </c>
      <c r="B50" s="11"/>
      <c r="C50" s="112" t="s">
        <v>195</v>
      </c>
      <c r="D50" s="119" t="s">
        <v>445</v>
      </c>
      <c r="E50" s="105">
        <f t="shared" si="1"/>
        <v>2.5</v>
      </c>
      <c r="F50" s="105">
        <f t="shared" si="3"/>
        <v>0.1</v>
      </c>
      <c r="G50" s="105">
        <v>2.5</v>
      </c>
      <c r="H50" s="105">
        <v>0.1</v>
      </c>
      <c r="I50" s="105"/>
      <c r="J50" s="105"/>
      <c r="K50" s="105"/>
      <c r="L50" s="22">
        <f t="shared" si="2"/>
        <v>0</v>
      </c>
      <c r="M50" s="22">
        <f t="shared" si="2"/>
        <v>0</v>
      </c>
      <c r="Q50" s="107"/>
    </row>
    <row r="51" spans="1:17" ht="12.6" customHeight="1" x14ac:dyDescent="0.2">
      <c r="A51" s="117">
        <v>38</v>
      </c>
      <c r="B51" s="76"/>
      <c r="C51" s="118" t="s">
        <v>196</v>
      </c>
      <c r="D51" s="64" t="s">
        <v>427</v>
      </c>
      <c r="E51" s="105">
        <f t="shared" si="1"/>
        <v>0.9</v>
      </c>
      <c r="F51" s="105">
        <f t="shared" si="3"/>
        <v>0.9</v>
      </c>
      <c r="G51" s="105">
        <v>0.9</v>
      </c>
      <c r="H51" s="105">
        <v>0.9</v>
      </c>
      <c r="I51" s="105"/>
      <c r="J51" s="105"/>
      <c r="K51" s="105"/>
      <c r="L51" s="22">
        <f t="shared" si="2"/>
        <v>0</v>
      </c>
      <c r="M51" s="22">
        <f t="shared" si="2"/>
        <v>0</v>
      </c>
      <c r="Q51" s="107"/>
    </row>
    <row r="52" spans="1:17" ht="12.6" customHeight="1" x14ac:dyDescent="0.2">
      <c r="A52" s="117">
        <v>39</v>
      </c>
      <c r="B52" s="76"/>
      <c r="C52" s="112" t="s">
        <v>199</v>
      </c>
      <c r="D52" s="64" t="s">
        <v>427</v>
      </c>
      <c r="E52" s="105">
        <f t="shared" si="1"/>
        <v>0.2</v>
      </c>
      <c r="F52" s="105">
        <f t="shared" si="3"/>
        <v>0</v>
      </c>
      <c r="G52" s="105">
        <v>0.2</v>
      </c>
      <c r="H52" s="105">
        <v>0</v>
      </c>
      <c r="I52" s="105"/>
      <c r="J52" s="105"/>
      <c r="K52" s="105"/>
      <c r="L52" s="22">
        <f t="shared" si="2"/>
        <v>0</v>
      </c>
      <c r="M52" s="22">
        <f t="shared" si="2"/>
        <v>0</v>
      </c>
      <c r="Q52" s="107"/>
    </row>
    <row r="53" spans="1:17" ht="12.6" customHeight="1" x14ac:dyDescent="0.2">
      <c r="A53" s="117">
        <v>40</v>
      </c>
      <c r="B53" s="11"/>
      <c r="C53" s="112" t="s">
        <v>200</v>
      </c>
      <c r="D53" s="76" t="s">
        <v>522</v>
      </c>
      <c r="E53" s="105">
        <f t="shared" si="1"/>
        <v>0.5</v>
      </c>
      <c r="F53" s="105">
        <f t="shared" si="3"/>
        <v>0.5</v>
      </c>
      <c r="G53" s="105">
        <v>0.5</v>
      </c>
      <c r="H53" s="105">
        <v>0.5</v>
      </c>
      <c r="I53" s="105"/>
      <c r="J53" s="105"/>
      <c r="K53" s="105"/>
      <c r="L53" s="22">
        <f t="shared" si="2"/>
        <v>0</v>
      </c>
      <c r="M53" s="22">
        <f t="shared" si="2"/>
        <v>0</v>
      </c>
      <c r="Q53" s="107"/>
    </row>
    <row r="54" spans="1:17" ht="20.100000000000001" customHeight="1" x14ac:dyDescent="0.2">
      <c r="A54" s="117">
        <v>41</v>
      </c>
      <c r="B54" s="11" t="s">
        <v>462</v>
      </c>
      <c r="C54" s="51" t="s">
        <v>463</v>
      </c>
      <c r="D54" s="64"/>
      <c r="E54" s="58">
        <f t="shared" si="1"/>
        <v>2.8000000000000003</v>
      </c>
      <c r="F54" s="58">
        <f t="shared" si="3"/>
        <v>1.9</v>
      </c>
      <c r="G54" s="58">
        <f>SUM(G55:G60)</f>
        <v>2.8000000000000003</v>
      </c>
      <c r="H54" s="58">
        <f>SUM(H55:H60)</f>
        <v>1.9</v>
      </c>
      <c r="I54" s="58">
        <f>SUM(I55:I59)</f>
        <v>0</v>
      </c>
      <c r="J54" s="58">
        <f>SUM(J55:J59)</f>
        <v>0</v>
      </c>
      <c r="K54" s="58">
        <f>SUM(K55:K59)</f>
        <v>0</v>
      </c>
      <c r="L54" s="58">
        <f t="shared" ref="L54:Q54" si="8">SUM(L55:L59)</f>
        <v>-0.4</v>
      </c>
      <c r="M54" s="58">
        <f t="shared" si="8"/>
        <v>-0.4</v>
      </c>
      <c r="N54" s="58">
        <f t="shared" si="8"/>
        <v>-0.4</v>
      </c>
      <c r="O54" s="58">
        <f t="shared" si="8"/>
        <v>0</v>
      </c>
      <c r="P54" s="58">
        <f t="shared" si="8"/>
        <v>0</v>
      </c>
      <c r="Q54" s="58">
        <f t="shared" si="8"/>
        <v>0</v>
      </c>
    </row>
    <row r="55" spans="1:17" ht="12.6" customHeight="1" x14ac:dyDescent="0.2">
      <c r="A55" s="117">
        <v>42</v>
      </c>
      <c r="B55" s="11"/>
      <c r="C55" s="109" t="s">
        <v>464</v>
      </c>
      <c r="D55" s="18" t="s">
        <v>465</v>
      </c>
      <c r="E55" s="105">
        <f t="shared" si="1"/>
        <v>0.79999999999999993</v>
      </c>
      <c r="F55" s="105">
        <f t="shared" si="3"/>
        <v>0.7</v>
      </c>
      <c r="G55" s="105">
        <f>1.2-0.4</f>
        <v>0.79999999999999993</v>
      </c>
      <c r="H55" s="105">
        <v>0.7</v>
      </c>
      <c r="I55" s="94"/>
      <c r="J55" s="94"/>
      <c r="K55" s="94"/>
      <c r="L55" s="22">
        <f t="shared" si="2"/>
        <v>-0.4</v>
      </c>
      <c r="M55" s="22">
        <f t="shared" si="2"/>
        <v>-0.4</v>
      </c>
      <c r="N55" s="3">
        <v>-0.4</v>
      </c>
      <c r="Q55" s="107"/>
    </row>
    <row r="56" spans="1:17" ht="12.6" customHeight="1" x14ac:dyDescent="0.2">
      <c r="A56" s="117">
        <v>43</v>
      </c>
      <c r="B56" s="11"/>
      <c r="C56" s="40" t="s">
        <v>61</v>
      </c>
      <c r="D56" s="64" t="s">
        <v>399</v>
      </c>
      <c r="E56" s="105">
        <f t="shared" si="1"/>
        <v>0.1</v>
      </c>
      <c r="F56" s="105">
        <f t="shared" si="3"/>
        <v>0.1</v>
      </c>
      <c r="G56" s="105">
        <v>0.1</v>
      </c>
      <c r="H56" s="105">
        <v>0.1</v>
      </c>
      <c r="I56" s="94"/>
      <c r="J56" s="94"/>
      <c r="K56" s="94"/>
      <c r="L56" s="22">
        <f t="shared" si="2"/>
        <v>0</v>
      </c>
      <c r="M56" s="22">
        <f t="shared" si="2"/>
        <v>0</v>
      </c>
      <c r="Q56" s="107"/>
    </row>
    <row r="57" spans="1:17" ht="27.6" customHeight="1" x14ac:dyDescent="0.2">
      <c r="A57" s="117">
        <v>44</v>
      </c>
      <c r="B57" s="76"/>
      <c r="C57" s="112" t="s">
        <v>190</v>
      </c>
      <c r="D57" s="64" t="s">
        <v>512</v>
      </c>
      <c r="E57" s="105">
        <f t="shared" si="1"/>
        <v>0.3</v>
      </c>
      <c r="F57" s="105">
        <f t="shared" si="3"/>
        <v>0.1</v>
      </c>
      <c r="G57" s="105">
        <v>0.3</v>
      </c>
      <c r="H57" s="105">
        <v>0.1</v>
      </c>
      <c r="I57" s="105"/>
      <c r="J57" s="105"/>
      <c r="K57" s="105"/>
      <c r="L57" s="22">
        <f t="shared" si="2"/>
        <v>0</v>
      </c>
      <c r="M57" s="22">
        <f t="shared" si="2"/>
        <v>0</v>
      </c>
      <c r="Q57" s="107"/>
    </row>
    <row r="58" spans="1:17" ht="12.6" customHeight="1" x14ac:dyDescent="0.2">
      <c r="A58" s="117">
        <v>45</v>
      </c>
      <c r="B58" s="76"/>
      <c r="C58" s="27" t="s">
        <v>194</v>
      </c>
      <c r="D58" s="64" t="s">
        <v>399</v>
      </c>
      <c r="E58" s="105">
        <f t="shared" si="1"/>
        <v>0.9</v>
      </c>
      <c r="F58" s="105">
        <f t="shared" si="3"/>
        <v>0.8</v>
      </c>
      <c r="G58" s="105">
        <v>0.9</v>
      </c>
      <c r="H58" s="105">
        <v>0.8</v>
      </c>
      <c r="I58" s="105"/>
      <c r="J58" s="105"/>
      <c r="K58" s="105"/>
      <c r="L58" s="22">
        <f t="shared" si="2"/>
        <v>0</v>
      </c>
      <c r="M58" s="22">
        <f t="shared" si="2"/>
        <v>0</v>
      </c>
      <c r="Q58" s="107"/>
    </row>
    <row r="59" spans="1:17" ht="12.6" customHeight="1" x14ac:dyDescent="0.2">
      <c r="A59" s="117">
        <v>46</v>
      </c>
      <c r="B59" s="76"/>
      <c r="C59" s="118" t="s">
        <v>197</v>
      </c>
      <c r="D59" s="64" t="s">
        <v>399</v>
      </c>
      <c r="E59" s="105">
        <f t="shared" si="1"/>
        <v>0.2</v>
      </c>
      <c r="F59" s="105">
        <f t="shared" si="3"/>
        <v>0.2</v>
      </c>
      <c r="G59" s="105">
        <v>0.2</v>
      </c>
      <c r="H59" s="105">
        <v>0.2</v>
      </c>
      <c r="I59" s="105"/>
      <c r="J59" s="105"/>
      <c r="K59" s="105"/>
      <c r="L59" s="22">
        <f t="shared" si="2"/>
        <v>0</v>
      </c>
      <c r="M59" s="22">
        <f t="shared" si="2"/>
        <v>0</v>
      </c>
      <c r="Q59" s="107"/>
    </row>
    <row r="60" spans="1:17" ht="12.6" customHeight="1" x14ac:dyDescent="0.2">
      <c r="A60" s="117">
        <v>47</v>
      </c>
      <c r="B60" s="76"/>
      <c r="C60" s="40" t="s">
        <v>201</v>
      </c>
      <c r="D60" s="64" t="s">
        <v>399</v>
      </c>
      <c r="E60" s="105">
        <f t="shared" si="1"/>
        <v>0.5</v>
      </c>
      <c r="F60" s="105">
        <f t="shared" si="3"/>
        <v>0</v>
      </c>
      <c r="G60" s="105">
        <v>0.5</v>
      </c>
      <c r="H60" s="105">
        <v>0</v>
      </c>
      <c r="I60" s="105"/>
      <c r="J60" s="105"/>
      <c r="K60" s="105"/>
      <c r="L60" s="22"/>
      <c r="M60" s="22">
        <f t="shared" si="2"/>
        <v>0</v>
      </c>
      <c r="Q60" s="107"/>
    </row>
    <row r="61" spans="1:17" ht="12.6" customHeight="1" x14ac:dyDescent="0.2">
      <c r="A61" s="117">
        <v>48</v>
      </c>
      <c r="B61" s="76"/>
      <c r="C61" s="114" t="s">
        <v>491</v>
      </c>
      <c r="D61" s="76"/>
      <c r="E61" s="58">
        <f t="shared" si="1"/>
        <v>253.49999999999997</v>
      </c>
      <c r="F61" s="58">
        <f t="shared" si="3"/>
        <v>196.90000000000003</v>
      </c>
      <c r="G61" s="58">
        <f>+G14+G34+G36+G39+G48+G54</f>
        <v>249.89999999999998</v>
      </c>
      <c r="H61" s="58">
        <f>+H14+H34+H36+H39+H48+H54</f>
        <v>193.60000000000002</v>
      </c>
      <c r="I61" s="58">
        <f>+I14+I34+I36+I39+I48+I54</f>
        <v>46</v>
      </c>
      <c r="J61" s="58">
        <f>+J14+J34+J36+J39+J48+J54</f>
        <v>33.800000000000004</v>
      </c>
      <c r="K61" s="58">
        <f>+K14+K34+K36+K39+K48+K54</f>
        <v>3.6</v>
      </c>
      <c r="L61" s="58">
        <f t="shared" ref="L61:Q61" si="9">+L14+L34+L36+L39+L48+L54</f>
        <v>9.2000000000000011</v>
      </c>
      <c r="M61" s="58">
        <f t="shared" si="9"/>
        <v>-2.8999999999999986</v>
      </c>
      <c r="N61" s="58">
        <f t="shared" si="9"/>
        <v>-6.4999999999999991</v>
      </c>
      <c r="O61" s="58">
        <f t="shared" si="9"/>
        <v>12.5</v>
      </c>
      <c r="P61" s="58">
        <f t="shared" si="9"/>
        <v>3.6</v>
      </c>
      <c r="Q61" s="58">
        <f t="shared" si="9"/>
        <v>3.3</v>
      </c>
    </row>
    <row r="62" spans="1:17" x14ac:dyDescent="0.2">
      <c r="E62" s="97"/>
      <c r="F62" s="97"/>
      <c r="G62" s="97"/>
      <c r="H62" s="97"/>
      <c r="I62" s="97"/>
      <c r="J62" s="97"/>
      <c r="K62" s="97"/>
    </row>
    <row r="63" spans="1:17" x14ac:dyDescent="0.2">
      <c r="C63" s="4" t="s">
        <v>523</v>
      </c>
      <c r="E63" s="97"/>
      <c r="F63" s="97"/>
      <c r="G63" s="97"/>
      <c r="H63" s="97"/>
      <c r="I63" s="97"/>
      <c r="J63" s="97"/>
      <c r="K63" s="97"/>
    </row>
    <row r="64" spans="1:17" hidden="1" x14ac:dyDescent="0.2">
      <c r="E64" s="120">
        <f>+G64+K64</f>
        <v>256.39999999999998</v>
      </c>
      <c r="F64" s="120"/>
      <c r="G64" s="97">
        <v>256.39999999999998</v>
      </c>
      <c r="H64" s="97"/>
      <c r="I64" s="97">
        <v>33.5</v>
      </c>
      <c r="J64" s="97"/>
      <c r="K64" s="97">
        <v>0</v>
      </c>
    </row>
    <row r="65" spans="5:12" hidden="1" x14ac:dyDescent="0.2">
      <c r="E65" s="120">
        <f>+G65+K65</f>
        <v>-2.9</v>
      </c>
      <c r="F65" s="120"/>
      <c r="G65" s="97">
        <f>+G61-G64</f>
        <v>-6.5</v>
      </c>
      <c r="H65" s="97"/>
      <c r="I65" s="97">
        <f>+I61-I64</f>
        <v>12.5</v>
      </c>
      <c r="J65" s="97"/>
      <c r="K65" s="97">
        <f>+K61-K64</f>
        <v>3.6</v>
      </c>
      <c r="L65" s="97">
        <f>+L61-L64</f>
        <v>9.2000000000000011</v>
      </c>
    </row>
    <row r="66" spans="5:12" x14ac:dyDescent="0.2">
      <c r="E66" s="97"/>
      <c r="F66" s="97"/>
    </row>
    <row r="67" spans="5:12" x14ac:dyDescent="0.2">
      <c r="E67" s="100"/>
      <c r="F67" s="100"/>
    </row>
  </sheetData>
  <mergeCells count="20">
    <mergeCell ref="G8:Q9"/>
    <mergeCell ref="A8:A12"/>
    <mergeCell ref="B8:B12"/>
    <mergeCell ref="C8:C12"/>
    <mergeCell ref="D8:D12"/>
    <mergeCell ref="G10:J10"/>
    <mergeCell ref="K10:Q10"/>
    <mergeCell ref="E11:E12"/>
    <mergeCell ref="F11:F12"/>
    <mergeCell ref="G11:H11"/>
    <mergeCell ref="I11:J11"/>
    <mergeCell ref="K11:K12"/>
    <mergeCell ref="Q11:Q12"/>
    <mergeCell ref="E8:F10"/>
    <mergeCell ref="J7:Q7"/>
    <mergeCell ref="I4:Q4"/>
    <mergeCell ref="C2:Q2"/>
    <mergeCell ref="C1:Q1"/>
    <mergeCell ref="C3:K3"/>
    <mergeCell ref="A6:K6"/>
  </mergeCells>
  <pageMargins left="0.31496062992125984" right="0.31496062992125984" top="0.35433070866141736" bottom="0.35433070866141736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53"/>
  <sheetViews>
    <sheetView workbookViewId="0">
      <selection activeCell="V21" sqref="V21"/>
    </sheetView>
  </sheetViews>
  <sheetFormatPr defaultColWidth="9.140625" defaultRowHeight="12.75" x14ac:dyDescent="0.2"/>
  <cols>
    <col min="1" max="1" width="4.42578125" style="4" customWidth="1"/>
    <col min="2" max="2" width="4.28515625" style="2" customWidth="1"/>
    <col min="3" max="3" width="46.7109375" style="4" customWidth="1"/>
    <col min="4" max="4" width="10.140625" style="2" customWidth="1"/>
    <col min="5" max="6" width="8.140625" style="1" customWidth="1"/>
    <col min="7" max="8" width="8" style="1" customWidth="1"/>
    <col min="9" max="10" width="8.85546875" style="1" customWidth="1"/>
    <col min="11" max="11" width="8" style="1" customWidth="1"/>
    <col min="12" max="15" width="9.140625" style="3" hidden="1" customWidth="1"/>
    <col min="16" max="16" width="1.140625" style="3" hidden="1" customWidth="1"/>
    <col min="17" max="256" width="9.140625" style="3"/>
    <col min="257" max="257" width="4.42578125" style="3" customWidth="1"/>
    <col min="258" max="258" width="4.28515625" style="3" customWidth="1"/>
    <col min="259" max="259" width="46.7109375" style="3" customWidth="1"/>
    <col min="260" max="260" width="10.140625" style="3" customWidth="1"/>
    <col min="261" max="262" width="8.140625" style="3" customWidth="1"/>
    <col min="263" max="264" width="8" style="3" customWidth="1"/>
    <col min="265" max="266" width="8.85546875" style="3" customWidth="1"/>
    <col min="267" max="267" width="8" style="3" customWidth="1"/>
    <col min="268" max="272" width="0" style="3" hidden="1" customWidth="1"/>
    <col min="273" max="512" width="9.140625" style="3"/>
    <col min="513" max="513" width="4.42578125" style="3" customWidth="1"/>
    <col min="514" max="514" width="4.28515625" style="3" customWidth="1"/>
    <col min="515" max="515" width="46.7109375" style="3" customWidth="1"/>
    <col min="516" max="516" width="10.140625" style="3" customWidth="1"/>
    <col min="517" max="518" width="8.140625" style="3" customWidth="1"/>
    <col min="519" max="520" width="8" style="3" customWidth="1"/>
    <col min="521" max="522" width="8.85546875" style="3" customWidth="1"/>
    <col min="523" max="523" width="8" style="3" customWidth="1"/>
    <col min="524" max="528" width="0" style="3" hidden="1" customWidth="1"/>
    <col min="529" max="768" width="9.140625" style="3"/>
    <col min="769" max="769" width="4.42578125" style="3" customWidth="1"/>
    <col min="770" max="770" width="4.28515625" style="3" customWidth="1"/>
    <col min="771" max="771" width="46.7109375" style="3" customWidth="1"/>
    <col min="772" max="772" width="10.140625" style="3" customWidth="1"/>
    <col min="773" max="774" width="8.140625" style="3" customWidth="1"/>
    <col min="775" max="776" width="8" style="3" customWidth="1"/>
    <col min="777" max="778" width="8.85546875" style="3" customWidth="1"/>
    <col min="779" max="779" width="8" style="3" customWidth="1"/>
    <col min="780" max="784" width="0" style="3" hidden="1" customWidth="1"/>
    <col min="785" max="1024" width="9.140625" style="3"/>
    <col min="1025" max="1025" width="4.42578125" style="3" customWidth="1"/>
    <col min="1026" max="1026" width="4.28515625" style="3" customWidth="1"/>
    <col min="1027" max="1027" width="46.7109375" style="3" customWidth="1"/>
    <col min="1028" max="1028" width="10.140625" style="3" customWidth="1"/>
    <col min="1029" max="1030" width="8.140625" style="3" customWidth="1"/>
    <col min="1031" max="1032" width="8" style="3" customWidth="1"/>
    <col min="1033" max="1034" width="8.85546875" style="3" customWidth="1"/>
    <col min="1035" max="1035" width="8" style="3" customWidth="1"/>
    <col min="1036" max="1040" width="0" style="3" hidden="1" customWidth="1"/>
    <col min="1041" max="1280" width="9.140625" style="3"/>
    <col min="1281" max="1281" width="4.42578125" style="3" customWidth="1"/>
    <col min="1282" max="1282" width="4.28515625" style="3" customWidth="1"/>
    <col min="1283" max="1283" width="46.7109375" style="3" customWidth="1"/>
    <col min="1284" max="1284" width="10.140625" style="3" customWidth="1"/>
    <col min="1285" max="1286" width="8.140625" style="3" customWidth="1"/>
    <col min="1287" max="1288" width="8" style="3" customWidth="1"/>
    <col min="1289" max="1290" width="8.85546875" style="3" customWidth="1"/>
    <col min="1291" max="1291" width="8" style="3" customWidth="1"/>
    <col min="1292" max="1296" width="0" style="3" hidden="1" customWidth="1"/>
    <col min="1297" max="1536" width="9.140625" style="3"/>
    <col min="1537" max="1537" width="4.42578125" style="3" customWidth="1"/>
    <col min="1538" max="1538" width="4.28515625" style="3" customWidth="1"/>
    <col min="1539" max="1539" width="46.7109375" style="3" customWidth="1"/>
    <col min="1540" max="1540" width="10.140625" style="3" customWidth="1"/>
    <col min="1541" max="1542" width="8.140625" style="3" customWidth="1"/>
    <col min="1543" max="1544" width="8" style="3" customWidth="1"/>
    <col min="1545" max="1546" width="8.85546875" style="3" customWidth="1"/>
    <col min="1547" max="1547" width="8" style="3" customWidth="1"/>
    <col min="1548" max="1552" width="0" style="3" hidden="1" customWidth="1"/>
    <col min="1553" max="1792" width="9.140625" style="3"/>
    <col min="1793" max="1793" width="4.42578125" style="3" customWidth="1"/>
    <col min="1794" max="1794" width="4.28515625" style="3" customWidth="1"/>
    <col min="1795" max="1795" width="46.7109375" style="3" customWidth="1"/>
    <col min="1796" max="1796" width="10.140625" style="3" customWidth="1"/>
    <col min="1797" max="1798" width="8.140625" style="3" customWidth="1"/>
    <col min="1799" max="1800" width="8" style="3" customWidth="1"/>
    <col min="1801" max="1802" width="8.85546875" style="3" customWidth="1"/>
    <col min="1803" max="1803" width="8" style="3" customWidth="1"/>
    <col min="1804" max="1808" width="0" style="3" hidden="1" customWidth="1"/>
    <col min="1809" max="2048" width="9.140625" style="3"/>
    <col min="2049" max="2049" width="4.42578125" style="3" customWidth="1"/>
    <col min="2050" max="2050" width="4.28515625" style="3" customWidth="1"/>
    <col min="2051" max="2051" width="46.7109375" style="3" customWidth="1"/>
    <col min="2052" max="2052" width="10.140625" style="3" customWidth="1"/>
    <col min="2053" max="2054" width="8.140625" style="3" customWidth="1"/>
    <col min="2055" max="2056" width="8" style="3" customWidth="1"/>
    <col min="2057" max="2058" width="8.85546875" style="3" customWidth="1"/>
    <col min="2059" max="2059" width="8" style="3" customWidth="1"/>
    <col min="2060" max="2064" width="0" style="3" hidden="1" customWidth="1"/>
    <col min="2065" max="2304" width="9.140625" style="3"/>
    <col min="2305" max="2305" width="4.42578125" style="3" customWidth="1"/>
    <col min="2306" max="2306" width="4.28515625" style="3" customWidth="1"/>
    <col min="2307" max="2307" width="46.7109375" style="3" customWidth="1"/>
    <col min="2308" max="2308" width="10.140625" style="3" customWidth="1"/>
    <col min="2309" max="2310" width="8.140625" style="3" customWidth="1"/>
    <col min="2311" max="2312" width="8" style="3" customWidth="1"/>
    <col min="2313" max="2314" width="8.85546875" style="3" customWidth="1"/>
    <col min="2315" max="2315" width="8" style="3" customWidth="1"/>
    <col min="2316" max="2320" width="0" style="3" hidden="1" customWidth="1"/>
    <col min="2321" max="2560" width="9.140625" style="3"/>
    <col min="2561" max="2561" width="4.42578125" style="3" customWidth="1"/>
    <col min="2562" max="2562" width="4.28515625" style="3" customWidth="1"/>
    <col min="2563" max="2563" width="46.7109375" style="3" customWidth="1"/>
    <col min="2564" max="2564" width="10.140625" style="3" customWidth="1"/>
    <col min="2565" max="2566" width="8.140625" style="3" customWidth="1"/>
    <col min="2567" max="2568" width="8" style="3" customWidth="1"/>
    <col min="2569" max="2570" width="8.85546875" style="3" customWidth="1"/>
    <col min="2571" max="2571" width="8" style="3" customWidth="1"/>
    <col min="2572" max="2576" width="0" style="3" hidden="1" customWidth="1"/>
    <col min="2577" max="2816" width="9.140625" style="3"/>
    <col min="2817" max="2817" width="4.42578125" style="3" customWidth="1"/>
    <col min="2818" max="2818" width="4.28515625" style="3" customWidth="1"/>
    <col min="2819" max="2819" width="46.7109375" style="3" customWidth="1"/>
    <col min="2820" max="2820" width="10.140625" style="3" customWidth="1"/>
    <col min="2821" max="2822" width="8.140625" style="3" customWidth="1"/>
    <col min="2823" max="2824" width="8" style="3" customWidth="1"/>
    <col min="2825" max="2826" width="8.85546875" style="3" customWidth="1"/>
    <col min="2827" max="2827" width="8" style="3" customWidth="1"/>
    <col min="2828" max="2832" width="0" style="3" hidden="1" customWidth="1"/>
    <col min="2833" max="3072" width="9.140625" style="3"/>
    <col min="3073" max="3073" width="4.42578125" style="3" customWidth="1"/>
    <col min="3074" max="3074" width="4.28515625" style="3" customWidth="1"/>
    <col min="3075" max="3075" width="46.7109375" style="3" customWidth="1"/>
    <col min="3076" max="3076" width="10.140625" style="3" customWidth="1"/>
    <col min="3077" max="3078" width="8.140625" style="3" customWidth="1"/>
    <col min="3079" max="3080" width="8" style="3" customWidth="1"/>
    <col min="3081" max="3082" width="8.85546875" style="3" customWidth="1"/>
    <col min="3083" max="3083" width="8" style="3" customWidth="1"/>
    <col min="3084" max="3088" width="0" style="3" hidden="1" customWidth="1"/>
    <col min="3089" max="3328" width="9.140625" style="3"/>
    <col min="3329" max="3329" width="4.42578125" style="3" customWidth="1"/>
    <col min="3330" max="3330" width="4.28515625" style="3" customWidth="1"/>
    <col min="3331" max="3331" width="46.7109375" style="3" customWidth="1"/>
    <col min="3332" max="3332" width="10.140625" style="3" customWidth="1"/>
    <col min="3333" max="3334" width="8.140625" style="3" customWidth="1"/>
    <col min="3335" max="3336" width="8" style="3" customWidth="1"/>
    <col min="3337" max="3338" width="8.85546875" style="3" customWidth="1"/>
    <col min="3339" max="3339" width="8" style="3" customWidth="1"/>
    <col min="3340" max="3344" width="0" style="3" hidden="1" customWidth="1"/>
    <col min="3345" max="3584" width="9.140625" style="3"/>
    <col min="3585" max="3585" width="4.42578125" style="3" customWidth="1"/>
    <col min="3586" max="3586" width="4.28515625" style="3" customWidth="1"/>
    <col min="3587" max="3587" width="46.7109375" style="3" customWidth="1"/>
    <col min="3588" max="3588" width="10.140625" style="3" customWidth="1"/>
    <col min="3589" max="3590" width="8.140625" style="3" customWidth="1"/>
    <col min="3591" max="3592" width="8" style="3" customWidth="1"/>
    <col min="3593" max="3594" width="8.85546875" style="3" customWidth="1"/>
    <col min="3595" max="3595" width="8" style="3" customWidth="1"/>
    <col min="3596" max="3600" width="0" style="3" hidden="1" customWidth="1"/>
    <col min="3601" max="3840" width="9.140625" style="3"/>
    <col min="3841" max="3841" width="4.42578125" style="3" customWidth="1"/>
    <col min="3842" max="3842" width="4.28515625" style="3" customWidth="1"/>
    <col min="3843" max="3843" width="46.7109375" style="3" customWidth="1"/>
    <col min="3844" max="3844" width="10.140625" style="3" customWidth="1"/>
    <col min="3845" max="3846" width="8.140625" style="3" customWidth="1"/>
    <col min="3847" max="3848" width="8" style="3" customWidth="1"/>
    <col min="3849" max="3850" width="8.85546875" style="3" customWidth="1"/>
    <col min="3851" max="3851" width="8" style="3" customWidth="1"/>
    <col min="3852" max="3856" width="0" style="3" hidden="1" customWidth="1"/>
    <col min="3857" max="4096" width="9.140625" style="3"/>
    <col min="4097" max="4097" width="4.42578125" style="3" customWidth="1"/>
    <col min="4098" max="4098" width="4.28515625" style="3" customWidth="1"/>
    <col min="4099" max="4099" width="46.7109375" style="3" customWidth="1"/>
    <col min="4100" max="4100" width="10.140625" style="3" customWidth="1"/>
    <col min="4101" max="4102" width="8.140625" style="3" customWidth="1"/>
    <col min="4103" max="4104" width="8" style="3" customWidth="1"/>
    <col min="4105" max="4106" width="8.85546875" style="3" customWidth="1"/>
    <col min="4107" max="4107" width="8" style="3" customWidth="1"/>
    <col min="4108" max="4112" width="0" style="3" hidden="1" customWidth="1"/>
    <col min="4113" max="4352" width="9.140625" style="3"/>
    <col min="4353" max="4353" width="4.42578125" style="3" customWidth="1"/>
    <col min="4354" max="4354" width="4.28515625" style="3" customWidth="1"/>
    <col min="4355" max="4355" width="46.7109375" style="3" customWidth="1"/>
    <col min="4356" max="4356" width="10.140625" style="3" customWidth="1"/>
    <col min="4357" max="4358" width="8.140625" style="3" customWidth="1"/>
    <col min="4359" max="4360" width="8" style="3" customWidth="1"/>
    <col min="4361" max="4362" width="8.85546875" style="3" customWidth="1"/>
    <col min="4363" max="4363" width="8" style="3" customWidth="1"/>
    <col min="4364" max="4368" width="0" style="3" hidden="1" customWidth="1"/>
    <col min="4369" max="4608" width="9.140625" style="3"/>
    <col min="4609" max="4609" width="4.42578125" style="3" customWidth="1"/>
    <col min="4610" max="4610" width="4.28515625" style="3" customWidth="1"/>
    <col min="4611" max="4611" width="46.7109375" style="3" customWidth="1"/>
    <col min="4612" max="4612" width="10.140625" style="3" customWidth="1"/>
    <col min="4613" max="4614" width="8.140625" style="3" customWidth="1"/>
    <col min="4615" max="4616" width="8" style="3" customWidth="1"/>
    <col min="4617" max="4618" width="8.85546875" style="3" customWidth="1"/>
    <col min="4619" max="4619" width="8" style="3" customWidth="1"/>
    <col min="4620" max="4624" width="0" style="3" hidden="1" customWidth="1"/>
    <col min="4625" max="4864" width="9.140625" style="3"/>
    <col min="4865" max="4865" width="4.42578125" style="3" customWidth="1"/>
    <col min="4866" max="4866" width="4.28515625" style="3" customWidth="1"/>
    <col min="4867" max="4867" width="46.7109375" style="3" customWidth="1"/>
    <col min="4868" max="4868" width="10.140625" style="3" customWidth="1"/>
    <col min="4869" max="4870" width="8.140625" style="3" customWidth="1"/>
    <col min="4871" max="4872" width="8" style="3" customWidth="1"/>
    <col min="4873" max="4874" width="8.85546875" style="3" customWidth="1"/>
    <col min="4875" max="4875" width="8" style="3" customWidth="1"/>
    <col min="4876" max="4880" width="0" style="3" hidden="1" customWidth="1"/>
    <col min="4881" max="5120" width="9.140625" style="3"/>
    <col min="5121" max="5121" width="4.42578125" style="3" customWidth="1"/>
    <col min="5122" max="5122" width="4.28515625" style="3" customWidth="1"/>
    <col min="5123" max="5123" width="46.7109375" style="3" customWidth="1"/>
    <col min="5124" max="5124" width="10.140625" style="3" customWidth="1"/>
    <col min="5125" max="5126" width="8.140625" style="3" customWidth="1"/>
    <col min="5127" max="5128" width="8" style="3" customWidth="1"/>
    <col min="5129" max="5130" width="8.85546875" style="3" customWidth="1"/>
    <col min="5131" max="5131" width="8" style="3" customWidth="1"/>
    <col min="5132" max="5136" width="0" style="3" hidden="1" customWidth="1"/>
    <col min="5137" max="5376" width="9.140625" style="3"/>
    <col min="5377" max="5377" width="4.42578125" style="3" customWidth="1"/>
    <col min="5378" max="5378" width="4.28515625" style="3" customWidth="1"/>
    <col min="5379" max="5379" width="46.7109375" style="3" customWidth="1"/>
    <col min="5380" max="5380" width="10.140625" style="3" customWidth="1"/>
    <col min="5381" max="5382" width="8.140625" style="3" customWidth="1"/>
    <col min="5383" max="5384" width="8" style="3" customWidth="1"/>
    <col min="5385" max="5386" width="8.85546875" style="3" customWidth="1"/>
    <col min="5387" max="5387" width="8" style="3" customWidth="1"/>
    <col min="5388" max="5392" width="0" style="3" hidden="1" customWidth="1"/>
    <col min="5393" max="5632" width="9.140625" style="3"/>
    <col min="5633" max="5633" width="4.42578125" style="3" customWidth="1"/>
    <col min="5634" max="5634" width="4.28515625" style="3" customWidth="1"/>
    <col min="5635" max="5635" width="46.7109375" style="3" customWidth="1"/>
    <col min="5636" max="5636" width="10.140625" style="3" customWidth="1"/>
    <col min="5637" max="5638" width="8.140625" style="3" customWidth="1"/>
    <col min="5639" max="5640" width="8" style="3" customWidth="1"/>
    <col min="5641" max="5642" width="8.85546875" style="3" customWidth="1"/>
    <col min="5643" max="5643" width="8" style="3" customWidth="1"/>
    <col min="5644" max="5648" width="0" style="3" hidden="1" customWidth="1"/>
    <col min="5649" max="5888" width="9.140625" style="3"/>
    <col min="5889" max="5889" width="4.42578125" style="3" customWidth="1"/>
    <col min="5890" max="5890" width="4.28515625" style="3" customWidth="1"/>
    <col min="5891" max="5891" width="46.7109375" style="3" customWidth="1"/>
    <col min="5892" max="5892" width="10.140625" style="3" customWidth="1"/>
    <col min="5893" max="5894" width="8.140625" style="3" customWidth="1"/>
    <col min="5895" max="5896" width="8" style="3" customWidth="1"/>
    <col min="5897" max="5898" width="8.85546875" style="3" customWidth="1"/>
    <col min="5899" max="5899" width="8" style="3" customWidth="1"/>
    <col min="5900" max="5904" width="0" style="3" hidden="1" customWidth="1"/>
    <col min="5905" max="6144" width="9.140625" style="3"/>
    <col min="6145" max="6145" width="4.42578125" style="3" customWidth="1"/>
    <col min="6146" max="6146" width="4.28515625" style="3" customWidth="1"/>
    <col min="6147" max="6147" width="46.7109375" style="3" customWidth="1"/>
    <col min="6148" max="6148" width="10.140625" style="3" customWidth="1"/>
    <col min="6149" max="6150" width="8.140625" style="3" customWidth="1"/>
    <col min="6151" max="6152" width="8" style="3" customWidth="1"/>
    <col min="6153" max="6154" width="8.85546875" style="3" customWidth="1"/>
    <col min="6155" max="6155" width="8" style="3" customWidth="1"/>
    <col min="6156" max="6160" width="0" style="3" hidden="1" customWidth="1"/>
    <col min="6161" max="6400" width="9.140625" style="3"/>
    <col min="6401" max="6401" width="4.42578125" style="3" customWidth="1"/>
    <col min="6402" max="6402" width="4.28515625" style="3" customWidth="1"/>
    <col min="6403" max="6403" width="46.7109375" style="3" customWidth="1"/>
    <col min="6404" max="6404" width="10.140625" style="3" customWidth="1"/>
    <col min="6405" max="6406" width="8.140625" style="3" customWidth="1"/>
    <col min="6407" max="6408" width="8" style="3" customWidth="1"/>
    <col min="6409" max="6410" width="8.85546875" style="3" customWidth="1"/>
    <col min="6411" max="6411" width="8" style="3" customWidth="1"/>
    <col min="6412" max="6416" width="0" style="3" hidden="1" customWidth="1"/>
    <col min="6417" max="6656" width="9.140625" style="3"/>
    <col min="6657" max="6657" width="4.42578125" style="3" customWidth="1"/>
    <col min="6658" max="6658" width="4.28515625" style="3" customWidth="1"/>
    <col min="6659" max="6659" width="46.7109375" style="3" customWidth="1"/>
    <col min="6660" max="6660" width="10.140625" style="3" customWidth="1"/>
    <col min="6661" max="6662" width="8.140625" style="3" customWidth="1"/>
    <col min="6663" max="6664" width="8" style="3" customWidth="1"/>
    <col min="6665" max="6666" width="8.85546875" style="3" customWidth="1"/>
    <col min="6667" max="6667" width="8" style="3" customWidth="1"/>
    <col min="6668" max="6672" width="0" style="3" hidden="1" customWidth="1"/>
    <col min="6673" max="6912" width="9.140625" style="3"/>
    <col min="6913" max="6913" width="4.42578125" style="3" customWidth="1"/>
    <col min="6914" max="6914" width="4.28515625" style="3" customWidth="1"/>
    <col min="6915" max="6915" width="46.7109375" style="3" customWidth="1"/>
    <col min="6916" max="6916" width="10.140625" style="3" customWidth="1"/>
    <col min="6917" max="6918" width="8.140625" style="3" customWidth="1"/>
    <col min="6919" max="6920" width="8" style="3" customWidth="1"/>
    <col min="6921" max="6922" width="8.85546875" style="3" customWidth="1"/>
    <col min="6923" max="6923" width="8" style="3" customWidth="1"/>
    <col min="6924" max="6928" width="0" style="3" hidden="1" customWidth="1"/>
    <col min="6929" max="7168" width="9.140625" style="3"/>
    <col min="7169" max="7169" width="4.42578125" style="3" customWidth="1"/>
    <col min="7170" max="7170" width="4.28515625" style="3" customWidth="1"/>
    <col min="7171" max="7171" width="46.7109375" style="3" customWidth="1"/>
    <col min="7172" max="7172" width="10.140625" style="3" customWidth="1"/>
    <col min="7173" max="7174" width="8.140625" style="3" customWidth="1"/>
    <col min="7175" max="7176" width="8" style="3" customWidth="1"/>
    <col min="7177" max="7178" width="8.85546875" style="3" customWidth="1"/>
    <col min="7179" max="7179" width="8" style="3" customWidth="1"/>
    <col min="7180" max="7184" width="0" style="3" hidden="1" customWidth="1"/>
    <col min="7185" max="7424" width="9.140625" style="3"/>
    <col min="7425" max="7425" width="4.42578125" style="3" customWidth="1"/>
    <col min="7426" max="7426" width="4.28515625" style="3" customWidth="1"/>
    <col min="7427" max="7427" width="46.7109375" style="3" customWidth="1"/>
    <col min="7428" max="7428" width="10.140625" style="3" customWidth="1"/>
    <col min="7429" max="7430" width="8.140625" style="3" customWidth="1"/>
    <col min="7431" max="7432" width="8" style="3" customWidth="1"/>
    <col min="7433" max="7434" width="8.85546875" style="3" customWidth="1"/>
    <col min="7435" max="7435" width="8" style="3" customWidth="1"/>
    <col min="7436" max="7440" width="0" style="3" hidden="1" customWidth="1"/>
    <col min="7441" max="7680" width="9.140625" style="3"/>
    <col min="7681" max="7681" width="4.42578125" style="3" customWidth="1"/>
    <col min="7682" max="7682" width="4.28515625" style="3" customWidth="1"/>
    <col min="7683" max="7683" width="46.7109375" style="3" customWidth="1"/>
    <col min="7684" max="7684" width="10.140625" style="3" customWidth="1"/>
    <col min="7685" max="7686" width="8.140625" style="3" customWidth="1"/>
    <col min="7687" max="7688" width="8" style="3" customWidth="1"/>
    <col min="7689" max="7690" width="8.85546875" style="3" customWidth="1"/>
    <col min="7691" max="7691" width="8" style="3" customWidth="1"/>
    <col min="7692" max="7696" width="0" style="3" hidden="1" customWidth="1"/>
    <col min="7697" max="7936" width="9.140625" style="3"/>
    <col min="7937" max="7937" width="4.42578125" style="3" customWidth="1"/>
    <col min="7938" max="7938" width="4.28515625" style="3" customWidth="1"/>
    <col min="7939" max="7939" width="46.7109375" style="3" customWidth="1"/>
    <col min="7940" max="7940" width="10.140625" style="3" customWidth="1"/>
    <col min="7941" max="7942" width="8.140625" style="3" customWidth="1"/>
    <col min="7943" max="7944" width="8" style="3" customWidth="1"/>
    <col min="7945" max="7946" width="8.85546875" style="3" customWidth="1"/>
    <col min="7947" max="7947" width="8" style="3" customWidth="1"/>
    <col min="7948" max="7952" width="0" style="3" hidden="1" customWidth="1"/>
    <col min="7953" max="8192" width="9.140625" style="3"/>
    <col min="8193" max="8193" width="4.42578125" style="3" customWidth="1"/>
    <col min="8194" max="8194" width="4.28515625" style="3" customWidth="1"/>
    <col min="8195" max="8195" width="46.7109375" style="3" customWidth="1"/>
    <col min="8196" max="8196" width="10.140625" style="3" customWidth="1"/>
    <col min="8197" max="8198" width="8.140625" style="3" customWidth="1"/>
    <col min="8199" max="8200" width="8" style="3" customWidth="1"/>
    <col min="8201" max="8202" width="8.85546875" style="3" customWidth="1"/>
    <col min="8203" max="8203" width="8" style="3" customWidth="1"/>
    <col min="8204" max="8208" width="0" style="3" hidden="1" customWidth="1"/>
    <col min="8209" max="8448" width="9.140625" style="3"/>
    <col min="8449" max="8449" width="4.42578125" style="3" customWidth="1"/>
    <col min="8450" max="8450" width="4.28515625" style="3" customWidth="1"/>
    <col min="8451" max="8451" width="46.7109375" style="3" customWidth="1"/>
    <col min="8452" max="8452" width="10.140625" style="3" customWidth="1"/>
    <col min="8453" max="8454" width="8.140625" style="3" customWidth="1"/>
    <col min="8455" max="8456" width="8" style="3" customWidth="1"/>
    <col min="8457" max="8458" width="8.85546875" style="3" customWidth="1"/>
    <col min="8459" max="8459" width="8" style="3" customWidth="1"/>
    <col min="8460" max="8464" width="0" style="3" hidden="1" customWidth="1"/>
    <col min="8465" max="8704" width="9.140625" style="3"/>
    <col min="8705" max="8705" width="4.42578125" style="3" customWidth="1"/>
    <col min="8706" max="8706" width="4.28515625" style="3" customWidth="1"/>
    <col min="8707" max="8707" width="46.7109375" style="3" customWidth="1"/>
    <col min="8708" max="8708" width="10.140625" style="3" customWidth="1"/>
    <col min="8709" max="8710" width="8.140625" style="3" customWidth="1"/>
    <col min="8711" max="8712" width="8" style="3" customWidth="1"/>
    <col min="8713" max="8714" width="8.85546875" style="3" customWidth="1"/>
    <col min="8715" max="8715" width="8" style="3" customWidth="1"/>
    <col min="8716" max="8720" width="0" style="3" hidden="1" customWidth="1"/>
    <col min="8721" max="8960" width="9.140625" style="3"/>
    <col min="8961" max="8961" width="4.42578125" style="3" customWidth="1"/>
    <col min="8962" max="8962" width="4.28515625" style="3" customWidth="1"/>
    <col min="8963" max="8963" width="46.7109375" style="3" customWidth="1"/>
    <col min="8964" max="8964" width="10.140625" style="3" customWidth="1"/>
    <col min="8965" max="8966" width="8.140625" style="3" customWidth="1"/>
    <col min="8967" max="8968" width="8" style="3" customWidth="1"/>
    <col min="8969" max="8970" width="8.85546875" style="3" customWidth="1"/>
    <col min="8971" max="8971" width="8" style="3" customWidth="1"/>
    <col min="8972" max="8976" width="0" style="3" hidden="1" customWidth="1"/>
    <col min="8977" max="9216" width="9.140625" style="3"/>
    <col min="9217" max="9217" width="4.42578125" style="3" customWidth="1"/>
    <col min="9218" max="9218" width="4.28515625" style="3" customWidth="1"/>
    <col min="9219" max="9219" width="46.7109375" style="3" customWidth="1"/>
    <col min="9220" max="9220" width="10.140625" style="3" customWidth="1"/>
    <col min="9221" max="9222" width="8.140625" style="3" customWidth="1"/>
    <col min="9223" max="9224" width="8" style="3" customWidth="1"/>
    <col min="9225" max="9226" width="8.85546875" style="3" customWidth="1"/>
    <col min="9227" max="9227" width="8" style="3" customWidth="1"/>
    <col min="9228" max="9232" width="0" style="3" hidden="1" customWidth="1"/>
    <col min="9233" max="9472" width="9.140625" style="3"/>
    <col min="9473" max="9473" width="4.42578125" style="3" customWidth="1"/>
    <col min="9474" max="9474" width="4.28515625" style="3" customWidth="1"/>
    <col min="9475" max="9475" width="46.7109375" style="3" customWidth="1"/>
    <col min="9476" max="9476" width="10.140625" style="3" customWidth="1"/>
    <col min="9477" max="9478" width="8.140625" style="3" customWidth="1"/>
    <col min="9479" max="9480" width="8" style="3" customWidth="1"/>
    <col min="9481" max="9482" width="8.85546875" style="3" customWidth="1"/>
    <col min="9483" max="9483" width="8" style="3" customWidth="1"/>
    <col min="9484" max="9488" width="0" style="3" hidden="1" customWidth="1"/>
    <col min="9489" max="9728" width="9.140625" style="3"/>
    <col min="9729" max="9729" width="4.42578125" style="3" customWidth="1"/>
    <col min="9730" max="9730" width="4.28515625" style="3" customWidth="1"/>
    <col min="9731" max="9731" width="46.7109375" style="3" customWidth="1"/>
    <col min="9732" max="9732" width="10.140625" style="3" customWidth="1"/>
    <col min="9733" max="9734" width="8.140625" style="3" customWidth="1"/>
    <col min="9735" max="9736" width="8" style="3" customWidth="1"/>
    <col min="9737" max="9738" width="8.85546875" style="3" customWidth="1"/>
    <col min="9739" max="9739" width="8" style="3" customWidth="1"/>
    <col min="9740" max="9744" width="0" style="3" hidden="1" customWidth="1"/>
    <col min="9745" max="9984" width="9.140625" style="3"/>
    <col min="9985" max="9985" width="4.42578125" style="3" customWidth="1"/>
    <col min="9986" max="9986" width="4.28515625" style="3" customWidth="1"/>
    <col min="9987" max="9987" width="46.7109375" style="3" customWidth="1"/>
    <col min="9988" max="9988" width="10.140625" style="3" customWidth="1"/>
    <col min="9989" max="9990" width="8.140625" style="3" customWidth="1"/>
    <col min="9991" max="9992" width="8" style="3" customWidth="1"/>
    <col min="9993" max="9994" width="8.85546875" style="3" customWidth="1"/>
    <col min="9995" max="9995" width="8" style="3" customWidth="1"/>
    <col min="9996" max="10000" width="0" style="3" hidden="1" customWidth="1"/>
    <col min="10001" max="10240" width="9.140625" style="3"/>
    <col min="10241" max="10241" width="4.42578125" style="3" customWidth="1"/>
    <col min="10242" max="10242" width="4.28515625" style="3" customWidth="1"/>
    <col min="10243" max="10243" width="46.7109375" style="3" customWidth="1"/>
    <col min="10244" max="10244" width="10.140625" style="3" customWidth="1"/>
    <col min="10245" max="10246" width="8.140625" style="3" customWidth="1"/>
    <col min="10247" max="10248" width="8" style="3" customWidth="1"/>
    <col min="10249" max="10250" width="8.85546875" style="3" customWidth="1"/>
    <col min="10251" max="10251" width="8" style="3" customWidth="1"/>
    <col min="10252" max="10256" width="0" style="3" hidden="1" customWidth="1"/>
    <col min="10257" max="10496" width="9.140625" style="3"/>
    <col min="10497" max="10497" width="4.42578125" style="3" customWidth="1"/>
    <col min="10498" max="10498" width="4.28515625" style="3" customWidth="1"/>
    <col min="10499" max="10499" width="46.7109375" style="3" customWidth="1"/>
    <col min="10500" max="10500" width="10.140625" style="3" customWidth="1"/>
    <col min="10501" max="10502" width="8.140625" style="3" customWidth="1"/>
    <col min="10503" max="10504" width="8" style="3" customWidth="1"/>
    <col min="10505" max="10506" width="8.85546875" style="3" customWidth="1"/>
    <col min="10507" max="10507" width="8" style="3" customWidth="1"/>
    <col min="10508" max="10512" width="0" style="3" hidden="1" customWidth="1"/>
    <col min="10513" max="10752" width="9.140625" style="3"/>
    <col min="10753" max="10753" width="4.42578125" style="3" customWidth="1"/>
    <col min="10754" max="10754" width="4.28515625" style="3" customWidth="1"/>
    <col min="10755" max="10755" width="46.7109375" style="3" customWidth="1"/>
    <col min="10756" max="10756" width="10.140625" style="3" customWidth="1"/>
    <col min="10757" max="10758" width="8.140625" style="3" customWidth="1"/>
    <col min="10759" max="10760" width="8" style="3" customWidth="1"/>
    <col min="10761" max="10762" width="8.85546875" style="3" customWidth="1"/>
    <col min="10763" max="10763" width="8" style="3" customWidth="1"/>
    <col min="10764" max="10768" width="0" style="3" hidden="1" customWidth="1"/>
    <col min="10769" max="11008" width="9.140625" style="3"/>
    <col min="11009" max="11009" width="4.42578125" style="3" customWidth="1"/>
    <col min="11010" max="11010" width="4.28515625" style="3" customWidth="1"/>
    <col min="11011" max="11011" width="46.7109375" style="3" customWidth="1"/>
    <col min="11012" max="11012" width="10.140625" style="3" customWidth="1"/>
    <col min="11013" max="11014" width="8.140625" style="3" customWidth="1"/>
    <col min="11015" max="11016" width="8" style="3" customWidth="1"/>
    <col min="11017" max="11018" width="8.85546875" style="3" customWidth="1"/>
    <col min="11019" max="11019" width="8" style="3" customWidth="1"/>
    <col min="11020" max="11024" width="0" style="3" hidden="1" customWidth="1"/>
    <col min="11025" max="11264" width="9.140625" style="3"/>
    <col min="11265" max="11265" width="4.42578125" style="3" customWidth="1"/>
    <col min="11266" max="11266" width="4.28515625" style="3" customWidth="1"/>
    <col min="11267" max="11267" width="46.7109375" style="3" customWidth="1"/>
    <col min="11268" max="11268" width="10.140625" style="3" customWidth="1"/>
    <col min="11269" max="11270" width="8.140625" style="3" customWidth="1"/>
    <col min="11271" max="11272" width="8" style="3" customWidth="1"/>
    <col min="11273" max="11274" width="8.85546875" style="3" customWidth="1"/>
    <col min="11275" max="11275" width="8" style="3" customWidth="1"/>
    <col min="11276" max="11280" width="0" style="3" hidden="1" customWidth="1"/>
    <col min="11281" max="11520" width="9.140625" style="3"/>
    <col min="11521" max="11521" width="4.42578125" style="3" customWidth="1"/>
    <col min="11522" max="11522" width="4.28515625" style="3" customWidth="1"/>
    <col min="11523" max="11523" width="46.7109375" style="3" customWidth="1"/>
    <col min="11524" max="11524" width="10.140625" style="3" customWidth="1"/>
    <col min="11525" max="11526" width="8.140625" style="3" customWidth="1"/>
    <col min="11527" max="11528" width="8" style="3" customWidth="1"/>
    <col min="11529" max="11530" width="8.85546875" style="3" customWidth="1"/>
    <col min="11531" max="11531" width="8" style="3" customWidth="1"/>
    <col min="11532" max="11536" width="0" style="3" hidden="1" customWidth="1"/>
    <col min="11537" max="11776" width="9.140625" style="3"/>
    <col min="11777" max="11777" width="4.42578125" style="3" customWidth="1"/>
    <col min="11778" max="11778" width="4.28515625" style="3" customWidth="1"/>
    <col min="11779" max="11779" width="46.7109375" style="3" customWidth="1"/>
    <col min="11780" max="11780" width="10.140625" style="3" customWidth="1"/>
    <col min="11781" max="11782" width="8.140625" style="3" customWidth="1"/>
    <col min="11783" max="11784" width="8" style="3" customWidth="1"/>
    <col min="11785" max="11786" width="8.85546875" style="3" customWidth="1"/>
    <col min="11787" max="11787" width="8" style="3" customWidth="1"/>
    <col min="11788" max="11792" width="0" style="3" hidden="1" customWidth="1"/>
    <col min="11793" max="12032" width="9.140625" style="3"/>
    <col min="12033" max="12033" width="4.42578125" style="3" customWidth="1"/>
    <col min="12034" max="12034" width="4.28515625" style="3" customWidth="1"/>
    <col min="12035" max="12035" width="46.7109375" style="3" customWidth="1"/>
    <col min="12036" max="12036" width="10.140625" style="3" customWidth="1"/>
    <col min="12037" max="12038" width="8.140625" style="3" customWidth="1"/>
    <col min="12039" max="12040" width="8" style="3" customWidth="1"/>
    <col min="12041" max="12042" width="8.85546875" style="3" customWidth="1"/>
    <col min="12043" max="12043" width="8" style="3" customWidth="1"/>
    <col min="12044" max="12048" width="0" style="3" hidden="1" customWidth="1"/>
    <col min="12049" max="12288" width="9.140625" style="3"/>
    <col min="12289" max="12289" width="4.42578125" style="3" customWidth="1"/>
    <col min="12290" max="12290" width="4.28515625" style="3" customWidth="1"/>
    <col min="12291" max="12291" width="46.7109375" style="3" customWidth="1"/>
    <col min="12292" max="12292" width="10.140625" style="3" customWidth="1"/>
    <col min="12293" max="12294" width="8.140625" style="3" customWidth="1"/>
    <col min="12295" max="12296" width="8" style="3" customWidth="1"/>
    <col min="12297" max="12298" width="8.85546875" style="3" customWidth="1"/>
    <col min="12299" max="12299" width="8" style="3" customWidth="1"/>
    <col min="12300" max="12304" width="0" style="3" hidden="1" customWidth="1"/>
    <col min="12305" max="12544" width="9.140625" style="3"/>
    <col min="12545" max="12545" width="4.42578125" style="3" customWidth="1"/>
    <col min="12546" max="12546" width="4.28515625" style="3" customWidth="1"/>
    <col min="12547" max="12547" width="46.7109375" style="3" customWidth="1"/>
    <col min="12548" max="12548" width="10.140625" style="3" customWidth="1"/>
    <col min="12549" max="12550" width="8.140625" style="3" customWidth="1"/>
    <col min="12551" max="12552" width="8" style="3" customWidth="1"/>
    <col min="12553" max="12554" width="8.85546875" style="3" customWidth="1"/>
    <col min="12555" max="12555" width="8" style="3" customWidth="1"/>
    <col min="12556" max="12560" width="0" style="3" hidden="1" customWidth="1"/>
    <col min="12561" max="12800" width="9.140625" style="3"/>
    <col min="12801" max="12801" width="4.42578125" style="3" customWidth="1"/>
    <col min="12802" max="12802" width="4.28515625" style="3" customWidth="1"/>
    <col min="12803" max="12803" width="46.7109375" style="3" customWidth="1"/>
    <col min="12804" max="12804" width="10.140625" style="3" customWidth="1"/>
    <col min="12805" max="12806" width="8.140625" style="3" customWidth="1"/>
    <col min="12807" max="12808" width="8" style="3" customWidth="1"/>
    <col min="12809" max="12810" width="8.85546875" style="3" customWidth="1"/>
    <col min="12811" max="12811" width="8" style="3" customWidth="1"/>
    <col min="12812" max="12816" width="0" style="3" hidden="1" customWidth="1"/>
    <col min="12817" max="13056" width="9.140625" style="3"/>
    <col min="13057" max="13057" width="4.42578125" style="3" customWidth="1"/>
    <col min="13058" max="13058" width="4.28515625" style="3" customWidth="1"/>
    <col min="13059" max="13059" width="46.7109375" style="3" customWidth="1"/>
    <col min="13060" max="13060" width="10.140625" style="3" customWidth="1"/>
    <col min="13061" max="13062" width="8.140625" style="3" customWidth="1"/>
    <col min="13063" max="13064" width="8" style="3" customWidth="1"/>
    <col min="13065" max="13066" width="8.85546875" style="3" customWidth="1"/>
    <col min="13067" max="13067" width="8" style="3" customWidth="1"/>
    <col min="13068" max="13072" width="0" style="3" hidden="1" customWidth="1"/>
    <col min="13073" max="13312" width="9.140625" style="3"/>
    <col min="13313" max="13313" width="4.42578125" style="3" customWidth="1"/>
    <col min="13314" max="13314" width="4.28515625" style="3" customWidth="1"/>
    <col min="13315" max="13315" width="46.7109375" style="3" customWidth="1"/>
    <col min="13316" max="13316" width="10.140625" style="3" customWidth="1"/>
    <col min="13317" max="13318" width="8.140625" style="3" customWidth="1"/>
    <col min="13319" max="13320" width="8" style="3" customWidth="1"/>
    <col min="13321" max="13322" width="8.85546875" style="3" customWidth="1"/>
    <col min="13323" max="13323" width="8" style="3" customWidth="1"/>
    <col min="13324" max="13328" width="0" style="3" hidden="1" customWidth="1"/>
    <col min="13329" max="13568" width="9.140625" style="3"/>
    <col min="13569" max="13569" width="4.42578125" style="3" customWidth="1"/>
    <col min="13570" max="13570" width="4.28515625" style="3" customWidth="1"/>
    <col min="13571" max="13571" width="46.7109375" style="3" customWidth="1"/>
    <col min="13572" max="13572" width="10.140625" style="3" customWidth="1"/>
    <col min="13573" max="13574" width="8.140625" style="3" customWidth="1"/>
    <col min="13575" max="13576" width="8" style="3" customWidth="1"/>
    <col min="13577" max="13578" width="8.85546875" style="3" customWidth="1"/>
    <col min="13579" max="13579" width="8" style="3" customWidth="1"/>
    <col min="13580" max="13584" width="0" style="3" hidden="1" customWidth="1"/>
    <col min="13585" max="13824" width="9.140625" style="3"/>
    <col min="13825" max="13825" width="4.42578125" style="3" customWidth="1"/>
    <col min="13826" max="13826" width="4.28515625" style="3" customWidth="1"/>
    <col min="13827" max="13827" width="46.7109375" style="3" customWidth="1"/>
    <col min="13828" max="13828" width="10.140625" style="3" customWidth="1"/>
    <col min="13829" max="13830" width="8.140625" style="3" customWidth="1"/>
    <col min="13831" max="13832" width="8" style="3" customWidth="1"/>
    <col min="13833" max="13834" width="8.85546875" style="3" customWidth="1"/>
    <col min="13835" max="13835" width="8" style="3" customWidth="1"/>
    <col min="13836" max="13840" width="0" style="3" hidden="1" customWidth="1"/>
    <col min="13841" max="14080" width="9.140625" style="3"/>
    <col min="14081" max="14081" width="4.42578125" style="3" customWidth="1"/>
    <col min="14082" max="14082" width="4.28515625" style="3" customWidth="1"/>
    <col min="14083" max="14083" width="46.7109375" style="3" customWidth="1"/>
    <col min="14084" max="14084" width="10.140625" style="3" customWidth="1"/>
    <col min="14085" max="14086" width="8.140625" style="3" customWidth="1"/>
    <col min="14087" max="14088" width="8" style="3" customWidth="1"/>
    <col min="14089" max="14090" width="8.85546875" style="3" customWidth="1"/>
    <col min="14091" max="14091" width="8" style="3" customWidth="1"/>
    <col min="14092" max="14096" width="0" style="3" hidden="1" customWidth="1"/>
    <col min="14097" max="14336" width="9.140625" style="3"/>
    <col min="14337" max="14337" width="4.42578125" style="3" customWidth="1"/>
    <col min="14338" max="14338" width="4.28515625" style="3" customWidth="1"/>
    <col min="14339" max="14339" width="46.7109375" style="3" customWidth="1"/>
    <col min="14340" max="14340" width="10.140625" style="3" customWidth="1"/>
    <col min="14341" max="14342" width="8.140625" style="3" customWidth="1"/>
    <col min="14343" max="14344" width="8" style="3" customWidth="1"/>
    <col min="14345" max="14346" width="8.85546875" style="3" customWidth="1"/>
    <col min="14347" max="14347" width="8" style="3" customWidth="1"/>
    <col min="14348" max="14352" width="0" style="3" hidden="1" customWidth="1"/>
    <col min="14353" max="14592" width="9.140625" style="3"/>
    <col min="14593" max="14593" width="4.42578125" style="3" customWidth="1"/>
    <col min="14594" max="14594" width="4.28515625" style="3" customWidth="1"/>
    <col min="14595" max="14595" width="46.7109375" style="3" customWidth="1"/>
    <col min="14596" max="14596" width="10.140625" style="3" customWidth="1"/>
    <col min="14597" max="14598" width="8.140625" style="3" customWidth="1"/>
    <col min="14599" max="14600" width="8" style="3" customWidth="1"/>
    <col min="14601" max="14602" width="8.85546875" style="3" customWidth="1"/>
    <col min="14603" max="14603" width="8" style="3" customWidth="1"/>
    <col min="14604" max="14608" width="0" style="3" hidden="1" customWidth="1"/>
    <col min="14609" max="14848" width="9.140625" style="3"/>
    <col min="14849" max="14849" width="4.42578125" style="3" customWidth="1"/>
    <col min="14850" max="14850" width="4.28515625" style="3" customWidth="1"/>
    <col min="14851" max="14851" width="46.7109375" style="3" customWidth="1"/>
    <col min="14852" max="14852" width="10.140625" style="3" customWidth="1"/>
    <col min="14853" max="14854" width="8.140625" style="3" customWidth="1"/>
    <col min="14855" max="14856" width="8" style="3" customWidth="1"/>
    <col min="14857" max="14858" width="8.85546875" style="3" customWidth="1"/>
    <col min="14859" max="14859" width="8" style="3" customWidth="1"/>
    <col min="14860" max="14864" width="0" style="3" hidden="1" customWidth="1"/>
    <col min="14865" max="15104" width="9.140625" style="3"/>
    <col min="15105" max="15105" width="4.42578125" style="3" customWidth="1"/>
    <col min="15106" max="15106" width="4.28515625" style="3" customWidth="1"/>
    <col min="15107" max="15107" width="46.7109375" style="3" customWidth="1"/>
    <col min="15108" max="15108" width="10.140625" style="3" customWidth="1"/>
    <col min="15109" max="15110" width="8.140625" style="3" customWidth="1"/>
    <col min="15111" max="15112" width="8" style="3" customWidth="1"/>
    <col min="15113" max="15114" width="8.85546875" style="3" customWidth="1"/>
    <col min="15115" max="15115" width="8" style="3" customWidth="1"/>
    <col min="15116" max="15120" width="0" style="3" hidden="1" customWidth="1"/>
    <col min="15121" max="15360" width="9.140625" style="3"/>
    <col min="15361" max="15361" width="4.42578125" style="3" customWidth="1"/>
    <col min="15362" max="15362" width="4.28515625" style="3" customWidth="1"/>
    <col min="15363" max="15363" width="46.7109375" style="3" customWidth="1"/>
    <col min="15364" max="15364" width="10.140625" style="3" customWidth="1"/>
    <col min="15365" max="15366" width="8.140625" style="3" customWidth="1"/>
    <col min="15367" max="15368" width="8" style="3" customWidth="1"/>
    <col min="15369" max="15370" width="8.85546875" style="3" customWidth="1"/>
    <col min="15371" max="15371" width="8" style="3" customWidth="1"/>
    <col min="15372" max="15376" width="0" style="3" hidden="1" customWidth="1"/>
    <col min="15377" max="15616" width="9.140625" style="3"/>
    <col min="15617" max="15617" width="4.42578125" style="3" customWidth="1"/>
    <col min="15618" max="15618" width="4.28515625" style="3" customWidth="1"/>
    <col min="15619" max="15619" width="46.7109375" style="3" customWidth="1"/>
    <col min="15620" max="15620" width="10.140625" style="3" customWidth="1"/>
    <col min="15621" max="15622" width="8.140625" style="3" customWidth="1"/>
    <col min="15623" max="15624" width="8" style="3" customWidth="1"/>
    <col min="15625" max="15626" width="8.85546875" style="3" customWidth="1"/>
    <col min="15627" max="15627" width="8" style="3" customWidth="1"/>
    <col min="15628" max="15632" width="0" style="3" hidden="1" customWidth="1"/>
    <col min="15633" max="15872" width="9.140625" style="3"/>
    <col min="15873" max="15873" width="4.42578125" style="3" customWidth="1"/>
    <col min="15874" max="15874" width="4.28515625" style="3" customWidth="1"/>
    <col min="15875" max="15875" width="46.7109375" style="3" customWidth="1"/>
    <col min="15876" max="15876" width="10.140625" style="3" customWidth="1"/>
    <col min="15877" max="15878" width="8.140625" style="3" customWidth="1"/>
    <col min="15879" max="15880" width="8" style="3" customWidth="1"/>
    <col min="15881" max="15882" width="8.85546875" style="3" customWidth="1"/>
    <col min="15883" max="15883" width="8" style="3" customWidth="1"/>
    <col min="15884" max="15888" width="0" style="3" hidden="1" customWidth="1"/>
    <col min="15889" max="16128" width="9.140625" style="3"/>
    <col min="16129" max="16129" width="4.42578125" style="3" customWidth="1"/>
    <col min="16130" max="16130" width="4.28515625" style="3" customWidth="1"/>
    <col min="16131" max="16131" width="46.7109375" style="3" customWidth="1"/>
    <col min="16132" max="16132" width="10.140625" style="3" customWidth="1"/>
    <col min="16133" max="16134" width="8.140625" style="3" customWidth="1"/>
    <col min="16135" max="16136" width="8" style="3" customWidth="1"/>
    <col min="16137" max="16138" width="8.85546875" style="3" customWidth="1"/>
    <col min="16139" max="16139" width="8" style="3" customWidth="1"/>
    <col min="16140" max="16144" width="0" style="3" hidden="1" customWidth="1"/>
    <col min="16145" max="16384" width="9.140625" style="3"/>
  </cols>
  <sheetData>
    <row r="1" spans="1:17" x14ac:dyDescent="0.2">
      <c r="C1" s="239" t="s">
        <v>755</v>
      </c>
      <c r="D1" s="239"/>
      <c r="E1" s="239"/>
      <c r="F1" s="239"/>
      <c r="G1" s="239"/>
      <c r="H1" s="239"/>
      <c r="I1" s="239"/>
      <c r="J1" s="239"/>
      <c r="K1" s="239"/>
      <c r="L1" s="239"/>
      <c r="M1" s="239"/>
      <c r="N1" s="239"/>
      <c r="O1" s="239"/>
      <c r="P1" s="239"/>
      <c r="Q1" s="239"/>
    </row>
    <row r="2" spans="1:17" x14ac:dyDescent="0.2">
      <c r="C2" s="239" t="s">
        <v>762</v>
      </c>
      <c r="D2" s="239"/>
      <c r="E2" s="239"/>
      <c r="F2" s="239"/>
      <c r="G2" s="239"/>
      <c r="H2" s="239"/>
      <c r="I2" s="239"/>
      <c r="J2" s="239"/>
      <c r="K2" s="239"/>
      <c r="L2" s="239"/>
      <c r="M2" s="239"/>
      <c r="N2" s="239"/>
      <c r="O2" s="239"/>
      <c r="P2" s="239"/>
      <c r="Q2" s="239"/>
    </row>
    <row r="3" spans="1:17" hidden="1" x14ac:dyDescent="0.2">
      <c r="C3" s="239" t="s">
        <v>0</v>
      </c>
      <c r="D3" s="239"/>
      <c r="E3" s="239"/>
      <c r="F3" s="239"/>
      <c r="G3" s="239"/>
      <c r="H3" s="239"/>
      <c r="I3" s="239"/>
      <c r="J3" s="239"/>
      <c r="K3" s="239"/>
    </row>
    <row r="4" spans="1:17" x14ac:dyDescent="0.2">
      <c r="E4" s="101"/>
      <c r="F4" s="101"/>
      <c r="G4" s="101"/>
      <c r="H4" s="101"/>
      <c r="I4" s="259" t="s">
        <v>502</v>
      </c>
      <c r="J4" s="259"/>
      <c r="K4" s="259"/>
      <c r="L4" s="259"/>
      <c r="M4" s="259"/>
      <c r="N4" s="259"/>
      <c r="O4" s="259"/>
      <c r="P4" s="259"/>
      <c r="Q4" s="259"/>
    </row>
    <row r="5" spans="1:17" ht="15.75" x14ac:dyDescent="0.2">
      <c r="E5" s="6"/>
      <c r="F5" s="6"/>
      <c r="G5" s="6"/>
      <c r="H5" s="6"/>
      <c r="I5" s="6"/>
      <c r="J5" s="6"/>
      <c r="K5" s="6"/>
    </row>
    <row r="6" spans="1:17" ht="28.5" customHeight="1" x14ac:dyDescent="0.2">
      <c r="B6" s="284" t="s">
        <v>525</v>
      </c>
      <c r="C6" s="284"/>
      <c r="D6" s="284"/>
      <c r="E6" s="284"/>
      <c r="F6" s="284"/>
      <c r="G6" s="284"/>
      <c r="H6" s="284"/>
      <c r="I6" s="284"/>
      <c r="J6" s="284"/>
      <c r="K6" s="284"/>
    </row>
    <row r="7" spans="1:17" x14ac:dyDescent="0.2">
      <c r="J7" s="258" t="s">
        <v>3</v>
      </c>
      <c r="K7" s="258"/>
      <c r="L7" s="258"/>
      <c r="M7" s="258"/>
      <c r="N7" s="258"/>
      <c r="O7" s="258"/>
      <c r="P7" s="258"/>
      <c r="Q7" s="258"/>
    </row>
    <row r="8" spans="1:17" ht="12.75" customHeight="1" x14ac:dyDescent="0.2">
      <c r="A8" s="242" t="s">
        <v>504</v>
      </c>
      <c r="B8" s="242" t="s">
        <v>505</v>
      </c>
      <c r="C8" s="242" t="s">
        <v>6</v>
      </c>
      <c r="D8" s="242" t="s">
        <v>7</v>
      </c>
      <c r="E8" s="246" t="s">
        <v>8</v>
      </c>
      <c r="F8" s="247"/>
      <c r="G8" s="246" t="s">
        <v>9</v>
      </c>
      <c r="H8" s="256"/>
      <c r="I8" s="256"/>
      <c r="J8" s="256"/>
      <c r="K8" s="256"/>
      <c r="L8" s="256"/>
      <c r="M8" s="256"/>
      <c r="N8" s="256"/>
      <c r="O8" s="256"/>
      <c r="P8" s="256"/>
      <c r="Q8" s="247"/>
    </row>
    <row r="9" spans="1:17" ht="12.75" customHeight="1" x14ac:dyDescent="0.2">
      <c r="A9" s="264"/>
      <c r="B9" s="264"/>
      <c r="C9" s="264"/>
      <c r="D9" s="264"/>
      <c r="E9" s="248"/>
      <c r="F9" s="249"/>
      <c r="G9" s="240" t="s">
        <v>10</v>
      </c>
      <c r="H9" s="285"/>
      <c r="I9" s="285"/>
      <c r="J9" s="241"/>
      <c r="K9" s="246" t="s">
        <v>11</v>
      </c>
      <c r="L9" s="256"/>
      <c r="M9" s="256"/>
      <c r="N9" s="256"/>
      <c r="O9" s="256"/>
      <c r="P9" s="256"/>
      <c r="Q9" s="247"/>
    </row>
    <row r="10" spans="1:17" ht="27.6" customHeight="1" x14ac:dyDescent="0.2">
      <c r="A10" s="264"/>
      <c r="B10" s="264"/>
      <c r="C10" s="264"/>
      <c r="D10" s="264"/>
      <c r="E10" s="242" t="s">
        <v>12</v>
      </c>
      <c r="F10" s="242" t="s">
        <v>13</v>
      </c>
      <c r="G10" s="240" t="s">
        <v>506</v>
      </c>
      <c r="H10" s="241"/>
      <c r="I10" s="240" t="s">
        <v>14</v>
      </c>
      <c r="J10" s="241"/>
      <c r="K10" s="242" t="s">
        <v>12</v>
      </c>
      <c r="Q10" s="244" t="s">
        <v>13</v>
      </c>
    </row>
    <row r="11" spans="1:17" ht="17.45" customHeight="1" x14ac:dyDescent="0.2">
      <c r="A11" s="243"/>
      <c r="B11" s="243"/>
      <c r="C11" s="243"/>
      <c r="D11" s="243"/>
      <c r="E11" s="243"/>
      <c r="F11" s="243"/>
      <c r="G11" s="121" t="s">
        <v>12</v>
      </c>
      <c r="H11" s="122" t="s">
        <v>13</v>
      </c>
      <c r="I11" s="123" t="s">
        <v>12</v>
      </c>
      <c r="J11" s="123" t="s">
        <v>13</v>
      </c>
      <c r="K11" s="243"/>
      <c r="Q11" s="245"/>
    </row>
    <row r="12" spans="1:17" x14ac:dyDescent="0.2">
      <c r="A12" s="8">
        <v>1</v>
      </c>
      <c r="B12" s="8">
        <v>2</v>
      </c>
      <c r="C12" s="123">
        <v>3</v>
      </c>
      <c r="D12" s="124">
        <v>4</v>
      </c>
      <c r="E12" s="8">
        <v>5</v>
      </c>
      <c r="F12" s="8">
        <v>6</v>
      </c>
      <c r="G12" s="8">
        <v>7</v>
      </c>
      <c r="H12" s="123">
        <v>8</v>
      </c>
      <c r="I12" s="123">
        <v>9</v>
      </c>
      <c r="J12" s="123">
        <v>10</v>
      </c>
      <c r="K12" s="8">
        <v>11</v>
      </c>
      <c r="Q12" s="9">
        <v>12</v>
      </c>
    </row>
    <row r="13" spans="1:17" ht="20.100000000000001" customHeight="1" x14ac:dyDescent="0.2">
      <c r="A13" s="13">
        <v>1</v>
      </c>
      <c r="B13" s="11" t="s">
        <v>16</v>
      </c>
      <c r="C13" s="125" t="s">
        <v>17</v>
      </c>
      <c r="D13" s="9"/>
      <c r="E13" s="126">
        <f>+G13+K13</f>
        <v>766.59999999999991</v>
      </c>
      <c r="F13" s="126">
        <f>+H13+Q13</f>
        <v>695.20000000000016</v>
      </c>
      <c r="G13" s="126">
        <f>SUM(G14:G40)</f>
        <v>748.39999999999986</v>
      </c>
      <c r="H13" s="126">
        <f>SUM(H14:H40)</f>
        <v>678.4000000000002</v>
      </c>
      <c r="I13" s="126">
        <f>SUM(I14:I40)</f>
        <v>28.9</v>
      </c>
      <c r="J13" s="126">
        <f>SUM(J14:J40)</f>
        <v>21.900000000000002</v>
      </c>
      <c r="K13" s="126">
        <f>SUM(K14:K40)</f>
        <v>18.200000000000003</v>
      </c>
      <c r="L13" s="126">
        <f t="shared" ref="L13:Q13" si="0">SUM(L14:L40)</f>
        <v>33</v>
      </c>
      <c r="M13" s="126">
        <f t="shared" si="0"/>
        <v>19.7</v>
      </c>
      <c r="N13" s="126">
        <f t="shared" si="0"/>
        <v>17.899999999999999</v>
      </c>
      <c r="O13" s="126">
        <f t="shared" si="0"/>
        <v>13.3</v>
      </c>
      <c r="P13" s="126">
        <f t="shared" si="0"/>
        <v>1.8</v>
      </c>
      <c r="Q13" s="126">
        <f t="shared" si="0"/>
        <v>16.8</v>
      </c>
    </row>
    <row r="14" spans="1:17" ht="12.6" customHeight="1" x14ac:dyDescent="0.2">
      <c r="A14" s="13">
        <v>2</v>
      </c>
      <c r="B14" s="76"/>
      <c r="C14" s="104" t="s">
        <v>18</v>
      </c>
      <c r="D14" s="16" t="s">
        <v>21</v>
      </c>
      <c r="E14" s="77">
        <f>+G14+K14</f>
        <v>45.5</v>
      </c>
      <c r="F14" s="127">
        <f>+H14+Q14</f>
        <v>40.5</v>
      </c>
      <c r="G14" s="77">
        <v>45.5</v>
      </c>
      <c r="H14" s="77">
        <v>40.5</v>
      </c>
      <c r="I14" s="77"/>
      <c r="J14" s="77"/>
      <c r="K14" s="77"/>
      <c r="L14" s="22">
        <f t="shared" ref="L14:M45" si="1">+M14+O14</f>
        <v>0</v>
      </c>
      <c r="M14" s="22">
        <f t="shared" si="1"/>
        <v>0</v>
      </c>
      <c r="N14" s="22"/>
      <c r="O14" s="22"/>
      <c r="Q14" s="107"/>
    </row>
    <row r="15" spans="1:17" ht="12.6" customHeight="1" x14ac:dyDescent="0.2">
      <c r="A15" s="13">
        <v>3</v>
      </c>
      <c r="B15" s="76"/>
      <c r="C15" s="104" t="s">
        <v>20</v>
      </c>
      <c r="D15" s="16" t="s">
        <v>21</v>
      </c>
      <c r="E15" s="77">
        <f>+G15+K15</f>
        <v>50.7</v>
      </c>
      <c r="F15" s="127">
        <f t="shared" ref="F15:F46" si="2">+H15+Q15</f>
        <v>49.5</v>
      </c>
      <c r="G15" s="77">
        <v>47.7</v>
      </c>
      <c r="H15" s="226">
        <f>46.6-0.1</f>
        <v>46.5</v>
      </c>
      <c r="I15" s="77"/>
      <c r="J15" s="77"/>
      <c r="K15" s="77">
        <v>3</v>
      </c>
      <c r="L15" s="22">
        <f t="shared" si="1"/>
        <v>0</v>
      </c>
      <c r="M15" s="22">
        <f t="shared" si="1"/>
        <v>0</v>
      </c>
      <c r="N15" s="22"/>
      <c r="O15" s="22"/>
      <c r="Q15" s="108">
        <v>3</v>
      </c>
    </row>
    <row r="16" spans="1:17" ht="12.6" customHeight="1" x14ac:dyDescent="0.2">
      <c r="A16" s="13">
        <v>4</v>
      </c>
      <c r="B16" s="76"/>
      <c r="C16" s="104" t="s">
        <v>22</v>
      </c>
      <c r="D16" s="16" t="s">
        <v>21</v>
      </c>
      <c r="E16" s="77">
        <f>+G16+K16</f>
        <v>58</v>
      </c>
      <c r="F16" s="127">
        <f t="shared" si="2"/>
        <v>52.1</v>
      </c>
      <c r="G16" s="77">
        <f>52.3+5.7</f>
        <v>58</v>
      </c>
      <c r="H16" s="77">
        <v>52.1</v>
      </c>
      <c r="I16" s="77"/>
      <c r="J16" s="77"/>
      <c r="K16" s="77"/>
      <c r="L16" s="22">
        <f t="shared" si="1"/>
        <v>5.7</v>
      </c>
      <c r="M16" s="22">
        <f t="shared" si="1"/>
        <v>5.7</v>
      </c>
      <c r="N16" s="22">
        <v>5.7</v>
      </c>
      <c r="O16" s="22"/>
      <c r="Q16" s="107"/>
    </row>
    <row r="17" spans="1:17" ht="12.6" customHeight="1" x14ac:dyDescent="0.2">
      <c r="A17" s="13">
        <v>5</v>
      </c>
      <c r="B17" s="76"/>
      <c r="C17" s="104" t="s">
        <v>23</v>
      </c>
      <c r="D17" s="16" t="s">
        <v>21</v>
      </c>
      <c r="E17" s="77">
        <f>+G17+K17</f>
        <v>57.7</v>
      </c>
      <c r="F17" s="127">
        <f t="shared" si="2"/>
        <v>56.5</v>
      </c>
      <c r="G17" s="77">
        <f>50.7+7</f>
        <v>57.7</v>
      </c>
      <c r="H17" s="77">
        <v>56.5</v>
      </c>
      <c r="I17" s="77"/>
      <c r="J17" s="77"/>
      <c r="K17" s="77"/>
      <c r="L17" s="22">
        <f t="shared" si="1"/>
        <v>7</v>
      </c>
      <c r="M17" s="22">
        <f t="shared" si="1"/>
        <v>7</v>
      </c>
      <c r="N17" s="22">
        <v>7</v>
      </c>
      <c r="O17" s="22"/>
      <c r="Q17" s="107"/>
    </row>
    <row r="18" spans="1:17" ht="12.6" customHeight="1" x14ac:dyDescent="0.2">
      <c r="A18" s="13">
        <v>6</v>
      </c>
      <c r="B18" s="76"/>
      <c r="C18" s="104" t="s">
        <v>24</v>
      </c>
      <c r="D18" s="16" t="s">
        <v>21</v>
      </c>
      <c r="E18" s="77">
        <f t="shared" ref="E18:E46" si="3">+G18+K18</f>
        <v>69</v>
      </c>
      <c r="F18" s="127">
        <f t="shared" si="2"/>
        <v>61.3</v>
      </c>
      <c r="G18" s="77">
        <f>67+2</f>
        <v>69</v>
      </c>
      <c r="H18" s="77">
        <v>61.3</v>
      </c>
      <c r="I18" s="77"/>
      <c r="J18" s="77"/>
      <c r="K18" s="77"/>
      <c r="L18" s="22">
        <f t="shared" si="1"/>
        <v>2</v>
      </c>
      <c r="M18" s="22">
        <f t="shared" si="1"/>
        <v>2</v>
      </c>
      <c r="N18" s="22">
        <v>2</v>
      </c>
      <c r="O18" s="22"/>
      <c r="Q18" s="107"/>
    </row>
    <row r="19" spans="1:17" ht="12.6" customHeight="1" x14ac:dyDescent="0.2">
      <c r="A19" s="13">
        <v>7</v>
      </c>
      <c r="B19" s="76"/>
      <c r="C19" s="104" t="s">
        <v>25</v>
      </c>
      <c r="D19" s="16" t="s">
        <v>21</v>
      </c>
      <c r="E19" s="77">
        <f t="shared" si="3"/>
        <v>29.5</v>
      </c>
      <c r="F19" s="127">
        <f t="shared" si="2"/>
        <v>29</v>
      </c>
      <c r="G19" s="77">
        <v>29.5</v>
      </c>
      <c r="H19" s="226">
        <f>29.1-0.1</f>
        <v>29</v>
      </c>
      <c r="I19" s="77"/>
      <c r="J19" s="77"/>
      <c r="K19" s="77"/>
      <c r="L19" s="22">
        <f t="shared" si="1"/>
        <v>0</v>
      </c>
      <c r="M19" s="22">
        <f t="shared" si="1"/>
        <v>0</v>
      </c>
      <c r="N19" s="22"/>
      <c r="O19" s="22"/>
      <c r="Q19" s="107"/>
    </row>
    <row r="20" spans="1:17" ht="12.6" customHeight="1" x14ac:dyDescent="0.2">
      <c r="A20" s="13">
        <v>8</v>
      </c>
      <c r="B20" s="76"/>
      <c r="C20" s="104" t="s">
        <v>26</v>
      </c>
      <c r="D20" s="16" t="s">
        <v>21</v>
      </c>
      <c r="E20" s="77">
        <f t="shared" si="3"/>
        <v>58.6</v>
      </c>
      <c r="F20" s="127">
        <f t="shared" si="2"/>
        <v>58.300000000000004</v>
      </c>
      <c r="G20" s="77">
        <f>53.4+3.5</f>
        <v>56.9</v>
      </c>
      <c r="H20" s="77">
        <v>56.6</v>
      </c>
      <c r="I20" s="77"/>
      <c r="J20" s="77"/>
      <c r="K20" s="77">
        <v>1.7</v>
      </c>
      <c r="L20" s="22">
        <f t="shared" si="1"/>
        <v>3.5</v>
      </c>
      <c r="M20" s="22">
        <f t="shared" si="1"/>
        <v>3.5</v>
      </c>
      <c r="N20" s="22">
        <v>3.5</v>
      </c>
      <c r="O20" s="22"/>
      <c r="Q20" s="107">
        <v>1.7</v>
      </c>
    </row>
    <row r="21" spans="1:17" ht="12.6" customHeight="1" x14ac:dyDescent="0.2">
      <c r="A21" s="13">
        <v>9</v>
      </c>
      <c r="B21" s="76"/>
      <c r="C21" s="109" t="s">
        <v>27</v>
      </c>
      <c r="D21" s="16" t="s">
        <v>28</v>
      </c>
      <c r="E21" s="77">
        <f t="shared" si="3"/>
        <v>43.6</v>
      </c>
      <c r="F21" s="127">
        <f t="shared" si="2"/>
        <v>41.3</v>
      </c>
      <c r="G21" s="77">
        <v>43.6</v>
      </c>
      <c r="H21" s="77">
        <v>41.3</v>
      </c>
      <c r="I21" s="77"/>
      <c r="J21" s="77"/>
      <c r="K21" s="77"/>
      <c r="L21" s="22">
        <f t="shared" si="1"/>
        <v>0</v>
      </c>
      <c r="M21" s="22">
        <f t="shared" si="1"/>
        <v>0</v>
      </c>
      <c r="N21" s="22"/>
      <c r="O21" s="22"/>
      <c r="Q21" s="107"/>
    </row>
    <row r="22" spans="1:17" ht="12.6" customHeight="1" x14ac:dyDescent="0.2">
      <c r="A22" s="13">
        <v>10</v>
      </c>
      <c r="B22" s="76"/>
      <c r="C22" s="104" t="s">
        <v>31</v>
      </c>
      <c r="D22" s="76" t="s">
        <v>50</v>
      </c>
      <c r="E22" s="77">
        <f t="shared" si="3"/>
        <v>8.4</v>
      </c>
      <c r="F22" s="127">
        <f t="shared" si="2"/>
        <v>8</v>
      </c>
      <c r="G22" s="77">
        <f>8.4-1.6</f>
        <v>6.8000000000000007</v>
      </c>
      <c r="H22" s="77">
        <v>6.4</v>
      </c>
      <c r="I22" s="77"/>
      <c r="J22" s="77"/>
      <c r="K22" s="77">
        <v>1.6</v>
      </c>
      <c r="L22" s="22">
        <f t="shared" si="1"/>
        <v>0</v>
      </c>
      <c r="M22" s="22">
        <f t="shared" si="1"/>
        <v>0</v>
      </c>
      <c r="N22" s="22">
        <v>-1.6</v>
      </c>
      <c r="O22" s="22"/>
      <c r="P22" s="3">
        <v>1.6</v>
      </c>
      <c r="Q22" s="107">
        <v>1.6</v>
      </c>
    </row>
    <row r="23" spans="1:17" ht="12.6" customHeight="1" x14ac:dyDescent="0.2">
      <c r="A23" s="13">
        <v>11</v>
      </c>
      <c r="B23" s="76"/>
      <c r="C23" s="109" t="s">
        <v>33</v>
      </c>
      <c r="D23" s="16" t="s">
        <v>30</v>
      </c>
      <c r="E23" s="77">
        <f t="shared" si="3"/>
        <v>28.8</v>
      </c>
      <c r="F23" s="127">
        <f t="shared" si="2"/>
        <v>28.7</v>
      </c>
      <c r="G23" s="78">
        <v>28.8</v>
      </c>
      <c r="H23" s="78">
        <v>28.7</v>
      </c>
      <c r="I23" s="78"/>
      <c r="J23" s="78"/>
      <c r="K23" s="78"/>
      <c r="L23" s="22">
        <f t="shared" si="1"/>
        <v>0</v>
      </c>
      <c r="M23" s="22">
        <f t="shared" si="1"/>
        <v>0</v>
      </c>
      <c r="N23" s="22"/>
      <c r="O23" s="22"/>
      <c r="Q23" s="107"/>
    </row>
    <row r="24" spans="1:17" ht="12.6" customHeight="1" x14ac:dyDescent="0.2">
      <c r="A24" s="13">
        <v>12</v>
      </c>
      <c r="B24" s="76"/>
      <c r="C24" s="109" t="s">
        <v>34</v>
      </c>
      <c r="D24" s="16" t="s">
        <v>30</v>
      </c>
      <c r="E24" s="77">
        <f t="shared" si="3"/>
        <v>1.3</v>
      </c>
      <c r="F24" s="127">
        <f t="shared" si="2"/>
        <v>1</v>
      </c>
      <c r="G24" s="78">
        <v>1.3</v>
      </c>
      <c r="H24" s="78">
        <v>1</v>
      </c>
      <c r="I24" s="78"/>
      <c r="J24" s="78"/>
      <c r="K24" s="78"/>
      <c r="L24" s="22">
        <f t="shared" si="1"/>
        <v>0</v>
      </c>
      <c r="M24" s="22">
        <f t="shared" si="1"/>
        <v>0</v>
      </c>
      <c r="N24" s="22"/>
      <c r="O24" s="22"/>
      <c r="Q24" s="107"/>
    </row>
    <row r="25" spans="1:17" ht="12.6" customHeight="1" x14ac:dyDescent="0.2">
      <c r="A25" s="13">
        <v>13</v>
      </c>
      <c r="B25" s="76"/>
      <c r="C25" s="109" t="s">
        <v>35</v>
      </c>
      <c r="D25" s="16" t="s">
        <v>30</v>
      </c>
      <c r="E25" s="77">
        <f t="shared" si="3"/>
        <v>12.700000000000001</v>
      </c>
      <c r="F25" s="127">
        <f t="shared" si="2"/>
        <v>9.4</v>
      </c>
      <c r="G25" s="78">
        <f>16.6-3.9</f>
        <v>12.700000000000001</v>
      </c>
      <c r="H25" s="78">
        <v>9.4</v>
      </c>
      <c r="I25" s="78"/>
      <c r="J25" s="78"/>
      <c r="K25" s="78"/>
      <c r="L25" s="22">
        <f t="shared" si="1"/>
        <v>-3.9</v>
      </c>
      <c r="M25" s="22">
        <f t="shared" si="1"/>
        <v>-3.9</v>
      </c>
      <c r="N25" s="22">
        <v>-3.9</v>
      </c>
      <c r="O25" s="22"/>
      <c r="Q25" s="107"/>
    </row>
    <row r="26" spans="1:17" ht="12.6" customHeight="1" x14ac:dyDescent="0.2">
      <c r="A26" s="13">
        <v>14</v>
      </c>
      <c r="B26" s="76"/>
      <c r="C26" s="104" t="s">
        <v>36</v>
      </c>
      <c r="D26" s="16" t="s">
        <v>30</v>
      </c>
      <c r="E26" s="77">
        <f t="shared" si="3"/>
        <v>1.6</v>
      </c>
      <c r="F26" s="127">
        <f t="shared" si="2"/>
        <v>0.5</v>
      </c>
      <c r="G26" s="77">
        <f>2.2-0.6</f>
        <v>1.6</v>
      </c>
      <c r="H26" s="77">
        <v>0.5</v>
      </c>
      <c r="I26" s="77"/>
      <c r="J26" s="77"/>
      <c r="K26" s="77"/>
      <c r="L26" s="22">
        <f t="shared" si="1"/>
        <v>-0.6</v>
      </c>
      <c r="M26" s="22">
        <f t="shared" si="1"/>
        <v>-0.6</v>
      </c>
      <c r="N26" s="22">
        <v>-0.6</v>
      </c>
      <c r="O26" s="22"/>
      <c r="Q26" s="107"/>
    </row>
    <row r="27" spans="1:17" ht="15.6" customHeight="1" x14ac:dyDescent="0.2">
      <c r="A27" s="13">
        <v>15</v>
      </c>
      <c r="B27" s="76"/>
      <c r="C27" s="109" t="s">
        <v>37</v>
      </c>
      <c r="D27" s="18" t="s">
        <v>507</v>
      </c>
      <c r="E27" s="77">
        <f t="shared" si="3"/>
        <v>2.0999999999999996</v>
      </c>
      <c r="F27" s="127">
        <f t="shared" si="2"/>
        <v>0.1</v>
      </c>
      <c r="G27" s="77">
        <f>2.9-0.8</f>
        <v>2.0999999999999996</v>
      </c>
      <c r="H27" s="77">
        <v>0.1</v>
      </c>
      <c r="I27" s="77"/>
      <c r="J27" s="77"/>
      <c r="K27" s="77"/>
      <c r="L27" s="22">
        <f t="shared" si="1"/>
        <v>-0.8</v>
      </c>
      <c r="M27" s="22">
        <f t="shared" si="1"/>
        <v>-0.8</v>
      </c>
      <c r="N27" s="22">
        <v>-0.8</v>
      </c>
      <c r="O27" s="22"/>
      <c r="Q27" s="107"/>
    </row>
    <row r="28" spans="1:17" ht="12.6" customHeight="1" x14ac:dyDescent="0.2">
      <c r="A28" s="13">
        <v>16</v>
      </c>
      <c r="B28" s="76"/>
      <c r="C28" s="104" t="s">
        <v>39</v>
      </c>
      <c r="D28" s="18" t="s">
        <v>507</v>
      </c>
      <c r="E28" s="77">
        <f t="shared" si="3"/>
        <v>2.1</v>
      </c>
      <c r="F28" s="127">
        <f t="shared" si="2"/>
        <v>1.2</v>
      </c>
      <c r="G28" s="77">
        <v>2.1</v>
      </c>
      <c r="H28" s="77">
        <v>1.2</v>
      </c>
      <c r="I28" s="77"/>
      <c r="J28" s="77"/>
      <c r="K28" s="77"/>
      <c r="L28" s="22">
        <f t="shared" si="1"/>
        <v>0</v>
      </c>
      <c r="M28" s="22">
        <f t="shared" si="1"/>
        <v>0</v>
      </c>
      <c r="N28" s="22"/>
      <c r="O28" s="22"/>
      <c r="Q28" s="107"/>
    </row>
    <row r="29" spans="1:17" ht="12.6" customHeight="1" x14ac:dyDescent="0.2">
      <c r="A29" s="13">
        <v>17</v>
      </c>
      <c r="B29" s="76"/>
      <c r="C29" s="109" t="s">
        <v>40</v>
      </c>
      <c r="D29" s="16" t="s">
        <v>38</v>
      </c>
      <c r="E29" s="77">
        <f t="shared" si="3"/>
        <v>4.0999999999999996</v>
      </c>
      <c r="F29" s="127">
        <f t="shared" si="2"/>
        <v>3.5</v>
      </c>
      <c r="G29" s="77">
        <f>6-1.9</f>
        <v>4.0999999999999996</v>
      </c>
      <c r="H29" s="77">
        <v>3.5</v>
      </c>
      <c r="I29" s="77"/>
      <c r="J29" s="77"/>
      <c r="K29" s="77"/>
      <c r="L29" s="22">
        <f t="shared" si="1"/>
        <v>-1.9</v>
      </c>
      <c r="M29" s="22">
        <f t="shared" si="1"/>
        <v>-1.9</v>
      </c>
      <c r="N29" s="22">
        <v>-1.9</v>
      </c>
      <c r="O29" s="22"/>
      <c r="Q29" s="107"/>
    </row>
    <row r="30" spans="1:17" ht="12.6" customHeight="1" x14ac:dyDescent="0.2">
      <c r="A30" s="13">
        <v>18</v>
      </c>
      <c r="B30" s="76"/>
      <c r="C30" s="109" t="s">
        <v>41</v>
      </c>
      <c r="D30" s="16" t="s">
        <v>38</v>
      </c>
      <c r="E30" s="77">
        <f t="shared" si="3"/>
        <v>1.4</v>
      </c>
      <c r="F30" s="127">
        <f t="shared" si="2"/>
        <v>1</v>
      </c>
      <c r="G30" s="77">
        <f>1.8-0.4</f>
        <v>1.4</v>
      </c>
      <c r="H30" s="77">
        <v>1</v>
      </c>
      <c r="I30" s="77"/>
      <c r="J30" s="77"/>
      <c r="K30" s="77"/>
      <c r="L30" s="22">
        <f t="shared" si="1"/>
        <v>-0.4</v>
      </c>
      <c r="M30" s="22">
        <f t="shared" si="1"/>
        <v>-0.4</v>
      </c>
      <c r="N30" s="22">
        <v>-0.4</v>
      </c>
      <c r="O30" s="22"/>
      <c r="Q30" s="107"/>
    </row>
    <row r="31" spans="1:17" ht="12.6" customHeight="1" x14ac:dyDescent="0.2">
      <c r="A31" s="13">
        <v>19</v>
      </c>
      <c r="B31" s="76"/>
      <c r="C31" s="128" t="s">
        <v>42</v>
      </c>
      <c r="D31" s="76" t="s">
        <v>38</v>
      </c>
      <c r="E31" s="77">
        <f t="shared" si="3"/>
        <v>45</v>
      </c>
      <c r="F31" s="127">
        <f t="shared" si="2"/>
        <v>45</v>
      </c>
      <c r="G31" s="78">
        <v>45</v>
      </c>
      <c r="H31" s="78">
        <v>45</v>
      </c>
      <c r="I31" s="78"/>
      <c r="J31" s="78"/>
      <c r="K31" s="78"/>
      <c r="L31" s="22">
        <f t="shared" si="1"/>
        <v>0</v>
      </c>
      <c r="M31" s="22">
        <f t="shared" si="1"/>
        <v>0</v>
      </c>
      <c r="N31" s="22"/>
      <c r="O31" s="22"/>
      <c r="Q31" s="107"/>
    </row>
    <row r="32" spans="1:17" ht="12.6" customHeight="1" x14ac:dyDescent="0.2">
      <c r="A32" s="13">
        <v>20</v>
      </c>
      <c r="B32" s="76"/>
      <c r="C32" s="27" t="s">
        <v>44</v>
      </c>
      <c r="D32" s="16" t="s">
        <v>38</v>
      </c>
      <c r="E32" s="77">
        <f t="shared" si="3"/>
        <v>1.9</v>
      </c>
      <c r="F32" s="127">
        <f t="shared" si="2"/>
        <v>1.8</v>
      </c>
      <c r="G32" s="78">
        <f>1.4+0.5</f>
        <v>1.9</v>
      </c>
      <c r="H32" s="78">
        <v>1.8</v>
      </c>
      <c r="I32" s="78"/>
      <c r="J32" s="78"/>
      <c r="K32" s="78"/>
      <c r="L32" s="22">
        <f t="shared" si="1"/>
        <v>0.5</v>
      </c>
      <c r="M32" s="22">
        <f t="shared" si="1"/>
        <v>0.5</v>
      </c>
      <c r="N32" s="22">
        <v>0.5</v>
      </c>
      <c r="O32" s="22"/>
      <c r="Q32" s="107"/>
    </row>
    <row r="33" spans="1:17" ht="12.6" customHeight="1" x14ac:dyDescent="0.2">
      <c r="A33" s="13">
        <v>21</v>
      </c>
      <c r="B33" s="76"/>
      <c r="C33" s="109" t="s">
        <v>46</v>
      </c>
      <c r="D33" s="76" t="s">
        <v>50</v>
      </c>
      <c r="E33" s="77">
        <f t="shared" si="3"/>
        <v>36</v>
      </c>
      <c r="F33" s="127">
        <f t="shared" si="2"/>
        <v>26.1</v>
      </c>
      <c r="G33" s="78">
        <v>36</v>
      </c>
      <c r="H33" s="78">
        <v>26.1</v>
      </c>
      <c r="I33" s="78">
        <f>12.1+3</f>
        <v>15.1</v>
      </c>
      <c r="J33" s="78">
        <v>9.8000000000000007</v>
      </c>
      <c r="K33" s="78"/>
      <c r="L33" s="22">
        <f t="shared" si="1"/>
        <v>3</v>
      </c>
      <c r="M33" s="22">
        <f t="shared" si="1"/>
        <v>0</v>
      </c>
      <c r="N33" s="22"/>
      <c r="O33" s="22">
        <v>3</v>
      </c>
      <c r="Q33" s="107"/>
    </row>
    <row r="34" spans="1:17" ht="12.6" customHeight="1" x14ac:dyDescent="0.2">
      <c r="A34" s="13">
        <v>22</v>
      </c>
      <c r="B34" s="76"/>
      <c r="C34" s="104" t="s">
        <v>48</v>
      </c>
      <c r="D34" s="16" t="s">
        <v>38</v>
      </c>
      <c r="E34" s="77">
        <f t="shared" si="3"/>
        <v>5.5</v>
      </c>
      <c r="F34" s="127">
        <f t="shared" si="2"/>
        <v>4.7</v>
      </c>
      <c r="G34" s="78">
        <f>6.5-1</f>
        <v>5.5</v>
      </c>
      <c r="H34" s="78">
        <v>4.7</v>
      </c>
      <c r="I34" s="78"/>
      <c r="J34" s="78"/>
      <c r="K34" s="78"/>
      <c r="L34" s="22">
        <f t="shared" si="1"/>
        <v>-1</v>
      </c>
      <c r="M34" s="22">
        <f t="shared" si="1"/>
        <v>-1</v>
      </c>
      <c r="N34" s="22">
        <v>-1</v>
      </c>
      <c r="O34" s="22"/>
      <c r="Q34" s="107"/>
    </row>
    <row r="35" spans="1:17" ht="12.6" customHeight="1" x14ac:dyDescent="0.2">
      <c r="A35" s="13">
        <v>23</v>
      </c>
      <c r="B35" s="76"/>
      <c r="C35" s="129" t="s">
        <v>49</v>
      </c>
      <c r="D35" s="76" t="s">
        <v>50</v>
      </c>
      <c r="E35" s="77">
        <f t="shared" si="3"/>
        <v>44.3</v>
      </c>
      <c r="F35" s="127">
        <f t="shared" si="2"/>
        <v>33.799999999999997</v>
      </c>
      <c r="G35" s="78">
        <v>40.299999999999997</v>
      </c>
      <c r="H35" s="78">
        <v>31.2</v>
      </c>
      <c r="I35" s="78">
        <f>3.5+1.3</f>
        <v>4.8</v>
      </c>
      <c r="J35" s="78">
        <v>3.8</v>
      </c>
      <c r="K35" s="78">
        <v>4</v>
      </c>
      <c r="L35" s="22">
        <f t="shared" si="1"/>
        <v>1.3</v>
      </c>
      <c r="M35" s="22">
        <f t="shared" si="1"/>
        <v>0</v>
      </c>
      <c r="N35" s="22"/>
      <c r="O35" s="22">
        <v>1.3</v>
      </c>
      <c r="Q35" s="107">
        <v>2.6</v>
      </c>
    </row>
    <row r="36" spans="1:17" ht="12.6" customHeight="1" x14ac:dyDescent="0.2">
      <c r="A36" s="13">
        <v>24</v>
      </c>
      <c r="B36" s="76"/>
      <c r="C36" s="129" t="s">
        <v>52</v>
      </c>
      <c r="D36" s="76" t="s">
        <v>50</v>
      </c>
      <c r="E36" s="77">
        <f t="shared" si="3"/>
        <v>56.599999999999994</v>
      </c>
      <c r="F36" s="127">
        <f t="shared" si="2"/>
        <v>50</v>
      </c>
      <c r="G36" s="78">
        <f>46.8+5</f>
        <v>51.8</v>
      </c>
      <c r="H36" s="78">
        <v>45.2</v>
      </c>
      <c r="I36" s="78"/>
      <c r="J36" s="78"/>
      <c r="K36" s="78">
        <v>4.8</v>
      </c>
      <c r="L36" s="22">
        <f t="shared" si="1"/>
        <v>5</v>
      </c>
      <c r="M36" s="22">
        <f t="shared" si="1"/>
        <v>5</v>
      </c>
      <c r="N36" s="22">
        <v>5</v>
      </c>
      <c r="O36" s="22"/>
      <c r="Q36" s="107">
        <v>4.8</v>
      </c>
    </row>
    <row r="37" spans="1:17" ht="12.6" customHeight="1" x14ac:dyDescent="0.2">
      <c r="A37" s="13">
        <v>25</v>
      </c>
      <c r="B37" s="76"/>
      <c r="C37" s="129" t="s">
        <v>53</v>
      </c>
      <c r="D37" s="76" t="s">
        <v>50</v>
      </c>
      <c r="E37" s="77">
        <f t="shared" si="3"/>
        <v>58</v>
      </c>
      <c r="F37" s="127">
        <f t="shared" si="2"/>
        <v>54.2</v>
      </c>
      <c r="G37" s="78">
        <f>53.1+4.9</f>
        <v>58</v>
      </c>
      <c r="H37" s="78">
        <v>54.2</v>
      </c>
      <c r="I37" s="78">
        <v>9</v>
      </c>
      <c r="J37" s="78">
        <v>8.3000000000000007</v>
      </c>
      <c r="K37" s="78">
        <f>0.6-0.6</f>
        <v>0</v>
      </c>
      <c r="L37" s="22">
        <f t="shared" si="1"/>
        <v>13.3</v>
      </c>
      <c r="M37" s="22">
        <f t="shared" si="1"/>
        <v>4.3000000000000007</v>
      </c>
      <c r="N37" s="22">
        <v>4.9000000000000004</v>
      </c>
      <c r="O37" s="22">
        <v>9</v>
      </c>
      <c r="P37" s="3">
        <v>-0.6</v>
      </c>
      <c r="Q37" s="108">
        <v>0</v>
      </c>
    </row>
    <row r="38" spans="1:17" ht="12.6" customHeight="1" x14ac:dyDescent="0.2">
      <c r="A38" s="13">
        <v>26</v>
      </c>
      <c r="B38" s="76"/>
      <c r="C38" s="104" t="s">
        <v>54</v>
      </c>
      <c r="D38" s="76" t="s">
        <v>50</v>
      </c>
      <c r="E38" s="77">
        <f t="shared" si="3"/>
        <v>15.4</v>
      </c>
      <c r="F38" s="127">
        <f t="shared" si="2"/>
        <v>10.4</v>
      </c>
      <c r="G38" s="78">
        <v>15.4</v>
      </c>
      <c r="H38" s="78">
        <v>10.4</v>
      </c>
      <c r="I38" s="78"/>
      <c r="J38" s="78"/>
      <c r="K38" s="78"/>
      <c r="L38" s="22">
        <f t="shared" si="1"/>
        <v>0</v>
      </c>
      <c r="M38" s="22">
        <f t="shared" si="1"/>
        <v>0</v>
      </c>
      <c r="N38" s="22"/>
      <c r="O38" s="22"/>
      <c r="Q38" s="107"/>
    </row>
    <row r="39" spans="1:17" ht="12.6" customHeight="1" x14ac:dyDescent="0.2">
      <c r="A39" s="13">
        <v>27</v>
      </c>
      <c r="B39" s="76"/>
      <c r="C39" s="129" t="s">
        <v>57</v>
      </c>
      <c r="D39" s="16" t="s">
        <v>21</v>
      </c>
      <c r="E39" s="77">
        <f t="shared" si="3"/>
        <v>17.899999999999999</v>
      </c>
      <c r="F39" s="127">
        <f t="shared" si="2"/>
        <v>16.7</v>
      </c>
      <c r="G39" s="78">
        <f>12.9+2.7-0.8</f>
        <v>14.8</v>
      </c>
      <c r="H39" s="78">
        <v>13.6</v>
      </c>
      <c r="I39" s="78"/>
      <c r="J39" s="78"/>
      <c r="K39" s="78">
        <f>2+0.3+0.8</f>
        <v>3.0999999999999996</v>
      </c>
      <c r="L39" s="22">
        <f t="shared" si="1"/>
        <v>0</v>
      </c>
      <c r="M39" s="22">
        <f t="shared" si="1"/>
        <v>0</v>
      </c>
      <c r="N39" s="22">
        <v>-0.8</v>
      </c>
      <c r="O39" s="22"/>
      <c r="P39" s="3">
        <v>0.8</v>
      </c>
      <c r="Q39" s="107">
        <v>3.1</v>
      </c>
    </row>
    <row r="40" spans="1:17" ht="12.6" customHeight="1" x14ac:dyDescent="0.2">
      <c r="A40" s="13">
        <v>28</v>
      </c>
      <c r="B40" s="76"/>
      <c r="C40" s="129" t="s">
        <v>526</v>
      </c>
      <c r="D40" s="16" t="s">
        <v>21</v>
      </c>
      <c r="E40" s="77">
        <f t="shared" si="3"/>
        <v>10.900000000000002</v>
      </c>
      <c r="F40" s="127">
        <f t="shared" si="2"/>
        <v>10.6</v>
      </c>
      <c r="G40" s="78">
        <f>8.8+1.8+0.3</f>
        <v>10.900000000000002</v>
      </c>
      <c r="H40" s="78">
        <v>10.6</v>
      </c>
      <c r="I40" s="78"/>
      <c r="J40" s="78"/>
      <c r="K40" s="78"/>
      <c r="L40" s="22">
        <f t="shared" si="1"/>
        <v>0.3</v>
      </c>
      <c r="M40" s="22">
        <f t="shared" si="1"/>
        <v>0.3</v>
      </c>
      <c r="N40" s="22">
        <v>0.3</v>
      </c>
      <c r="O40" s="22"/>
      <c r="Q40" s="107"/>
    </row>
    <row r="41" spans="1:17" ht="20.100000000000001" customHeight="1" x14ac:dyDescent="0.2">
      <c r="A41" s="13">
        <v>29</v>
      </c>
      <c r="B41" s="11" t="s">
        <v>141</v>
      </c>
      <c r="C41" s="130" t="s">
        <v>142</v>
      </c>
      <c r="D41" s="76"/>
      <c r="E41" s="126">
        <f t="shared" si="3"/>
        <v>608.80000000000007</v>
      </c>
      <c r="F41" s="126">
        <f t="shared" si="2"/>
        <v>575.29999999999984</v>
      </c>
      <c r="G41" s="126">
        <f>SUM(G42:G45)</f>
        <v>590.70000000000005</v>
      </c>
      <c r="H41" s="126">
        <f>SUM(H42:H45)</f>
        <v>557.99999999999989</v>
      </c>
      <c r="I41" s="126">
        <f>SUM(I42:I45)</f>
        <v>272.3</v>
      </c>
      <c r="J41" s="126">
        <f>SUM(J42:J45)</f>
        <v>265.60000000000002</v>
      </c>
      <c r="K41" s="126">
        <f>SUM(K42:K45)</f>
        <v>18.100000000000001</v>
      </c>
      <c r="L41" s="126">
        <f t="shared" ref="L41:Q41" si="4">SUM(L42:L45)</f>
        <v>36.200000000000003</v>
      </c>
      <c r="M41" s="126">
        <f t="shared" si="4"/>
        <v>6</v>
      </c>
      <c r="N41" s="126">
        <f t="shared" si="4"/>
        <v>7.2</v>
      </c>
      <c r="O41" s="126">
        <f t="shared" si="4"/>
        <v>30.2</v>
      </c>
      <c r="P41" s="126">
        <f t="shared" si="4"/>
        <v>-1.2000000000000002</v>
      </c>
      <c r="Q41" s="126">
        <f t="shared" si="4"/>
        <v>17.3</v>
      </c>
    </row>
    <row r="42" spans="1:17" ht="12.6" customHeight="1" x14ac:dyDescent="0.2">
      <c r="A42" s="13">
        <v>30</v>
      </c>
      <c r="B42" s="76"/>
      <c r="C42" s="129" t="s">
        <v>147</v>
      </c>
      <c r="D42" s="76" t="s">
        <v>148</v>
      </c>
      <c r="E42" s="77">
        <f t="shared" si="3"/>
        <v>240.60000000000002</v>
      </c>
      <c r="F42" s="127">
        <f t="shared" si="2"/>
        <v>232.89999999999998</v>
      </c>
      <c r="G42" s="77">
        <f>228.3+7</f>
        <v>235.3</v>
      </c>
      <c r="H42" s="77">
        <v>228.2</v>
      </c>
      <c r="I42" s="77">
        <f>132.7+6.9</f>
        <v>139.6</v>
      </c>
      <c r="J42" s="77">
        <v>139.4</v>
      </c>
      <c r="K42" s="77">
        <v>5.3</v>
      </c>
      <c r="L42" s="22">
        <f t="shared" si="1"/>
        <v>0</v>
      </c>
      <c r="M42" s="22">
        <f t="shared" si="1"/>
        <v>0</v>
      </c>
      <c r="N42" s="22"/>
      <c r="O42" s="22"/>
      <c r="Q42" s="107">
        <v>4.7</v>
      </c>
    </row>
    <row r="43" spans="1:17" ht="12.6" customHeight="1" x14ac:dyDescent="0.2">
      <c r="A43" s="13">
        <v>31</v>
      </c>
      <c r="B43" s="76"/>
      <c r="C43" s="129" t="s">
        <v>57</v>
      </c>
      <c r="D43" s="64" t="s">
        <v>148</v>
      </c>
      <c r="E43" s="77">
        <f t="shared" si="3"/>
        <v>185.5</v>
      </c>
      <c r="F43" s="127">
        <f t="shared" si="2"/>
        <v>168.5</v>
      </c>
      <c r="G43" s="77">
        <f>178+3.2</f>
        <v>181.2</v>
      </c>
      <c r="H43" s="77">
        <v>164.2</v>
      </c>
      <c r="I43" s="77">
        <f>50.5+30.2</f>
        <v>80.7</v>
      </c>
      <c r="J43" s="77">
        <v>74.2</v>
      </c>
      <c r="K43" s="77">
        <f>7.5-3.2</f>
        <v>4.3</v>
      </c>
      <c r="L43" s="22">
        <f t="shared" si="1"/>
        <v>30.2</v>
      </c>
      <c r="M43" s="22">
        <f t="shared" si="1"/>
        <v>0</v>
      </c>
      <c r="N43" s="22">
        <v>3.2</v>
      </c>
      <c r="O43" s="22">
        <v>30.2</v>
      </c>
      <c r="P43" s="3">
        <v>-3.2</v>
      </c>
      <c r="Q43" s="227">
        <f>4.2+0.1</f>
        <v>4.3</v>
      </c>
    </row>
    <row r="44" spans="1:17" ht="12.6" customHeight="1" x14ac:dyDescent="0.2">
      <c r="A44" s="13">
        <v>32</v>
      </c>
      <c r="B44" s="76"/>
      <c r="C44" s="129" t="s">
        <v>526</v>
      </c>
      <c r="D44" s="64" t="s">
        <v>148</v>
      </c>
      <c r="E44" s="77">
        <f t="shared" si="3"/>
        <v>163.5</v>
      </c>
      <c r="F44" s="127">
        <f t="shared" si="2"/>
        <v>160.5</v>
      </c>
      <c r="G44" s="77">
        <f>138.5+12.5+4</f>
        <v>155</v>
      </c>
      <c r="H44" s="77">
        <v>152.19999999999999</v>
      </c>
      <c r="I44" s="77">
        <f>48+4</f>
        <v>52</v>
      </c>
      <c r="J44" s="77">
        <v>52</v>
      </c>
      <c r="K44" s="77">
        <f>3+3.5+2</f>
        <v>8.5</v>
      </c>
      <c r="L44" s="22">
        <f t="shared" si="1"/>
        <v>6</v>
      </c>
      <c r="M44" s="22">
        <f t="shared" si="1"/>
        <v>6</v>
      </c>
      <c r="N44" s="22">
        <v>4</v>
      </c>
      <c r="O44" s="22"/>
      <c r="P44" s="3">
        <v>2</v>
      </c>
      <c r="Q44" s="107">
        <v>8.3000000000000007</v>
      </c>
    </row>
    <row r="45" spans="1:17" ht="12.6" customHeight="1" x14ac:dyDescent="0.2">
      <c r="A45" s="13">
        <v>33</v>
      </c>
      <c r="B45" s="76"/>
      <c r="C45" s="17" t="s">
        <v>150</v>
      </c>
      <c r="D45" s="64" t="s">
        <v>151</v>
      </c>
      <c r="E45" s="77">
        <f t="shared" si="3"/>
        <v>19.2</v>
      </c>
      <c r="F45" s="127">
        <f t="shared" si="2"/>
        <v>13.4</v>
      </c>
      <c r="G45" s="77">
        <v>19.2</v>
      </c>
      <c r="H45" s="77">
        <v>13.4</v>
      </c>
      <c r="I45" s="77"/>
      <c r="J45" s="77"/>
      <c r="K45" s="77"/>
      <c r="L45" s="22">
        <f t="shared" si="1"/>
        <v>0</v>
      </c>
      <c r="M45" s="22">
        <f t="shared" si="1"/>
        <v>0</v>
      </c>
      <c r="N45" s="22"/>
      <c r="O45" s="22"/>
      <c r="Q45" s="107"/>
    </row>
    <row r="46" spans="1:17" ht="12.6" customHeight="1" x14ac:dyDescent="0.2">
      <c r="A46" s="13">
        <v>34</v>
      </c>
      <c r="B46" s="76"/>
      <c r="C46" s="131" t="s">
        <v>491</v>
      </c>
      <c r="D46" s="76"/>
      <c r="E46" s="126">
        <f t="shared" si="3"/>
        <v>1375.3999999999999</v>
      </c>
      <c r="F46" s="126">
        <f t="shared" si="2"/>
        <v>1270.5</v>
      </c>
      <c r="G46" s="126">
        <f>+G13+G41</f>
        <v>1339.1</v>
      </c>
      <c r="H46" s="126">
        <f>+H13+H41</f>
        <v>1236.4000000000001</v>
      </c>
      <c r="I46" s="126">
        <f>+I13+I41</f>
        <v>301.2</v>
      </c>
      <c r="J46" s="126">
        <f>+J13+J41</f>
        <v>287.5</v>
      </c>
      <c r="K46" s="126">
        <f>+K13+K41</f>
        <v>36.300000000000004</v>
      </c>
      <c r="L46" s="126">
        <f t="shared" ref="L46:Q46" si="5">+L13+L41</f>
        <v>69.2</v>
      </c>
      <c r="M46" s="126">
        <f t="shared" si="5"/>
        <v>25.7</v>
      </c>
      <c r="N46" s="126">
        <f t="shared" si="5"/>
        <v>25.099999999999998</v>
      </c>
      <c r="O46" s="126">
        <f t="shared" si="5"/>
        <v>43.5</v>
      </c>
      <c r="P46" s="126">
        <f t="shared" si="5"/>
        <v>0.59999999999999987</v>
      </c>
      <c r="Q46" s="126">
        <f t="shared" si="5"/>
        <v>34.1</v>
      </c>
    </row>
    <row r="47" spans="1:17" x14ac:dyDescent="0.2">
      <c r="E47" s="97"/>
      <c r="F47" s="97"/>
      <c r="G47" s="97"/>
      <c r="H47" s="97"/>
      <c r="I47" s="97"/>
      <c r="J47" s="97"/>
      <c r="K47" s="97"/>
    </row>
    <row r="48" spans="1:17" x14ac:dyDescent="0.2">
      <c r="C48" s="4" t="s">
        <v>527</v>
      </c>
      <c r="M48" s="22"/>
    </row>
    <row r="49" spans="5:11" hidden="1" x14ac:dyDescent="0.2">
      <c r="E49" s="96">
        <f>+G49+K49</f>
        <v>1349.7</v>
      </c>
      <c r="F49" s="96"/>
      <c r="G49" s="97">
        <v>1314</v>
      </c>
      <c r="H49" s="97"/>
      <c r="I49" s="97">
        <v>257.7</v>
      </c>
      <c r="J49" s="97"/>
      <c r="K49" s="97">
        <v>35.700000000000003</v>
      </c>
    </row>
    <row r="50" spans="5:11" hidden="1" x14ac:dyDescent="0.2">
      <c r="E50" s="96">
        <f>+G50+K50</f>
        <v>25.69999999999991</v>
      </c>
      <c r="F50" s="96"/>
      <c r="G50" s="97">
        <f>+G46-G49</f>
        <v>25.099999999999909</v>
      </c>
      <c r="H50" s="97"/>
      <c r="I50" s="97">
        <f>+I46-I49</f>
        <v>43.5</v>
      </c>
      <c r="J50" s="97"/>
      <c r="K50" s="97">
        <f>+K46-K49</f>
        <v>0.60000000000000142</v>
      </c>
    </row>
    <row r="51" spans="5:11" x14ac:dyDescent="0.2">
      <c r="E51" s="97"/>
      <c r="F51" s="97"/>
      <c r="G51" s="97"/>
      <c r="H51" s="97"/>
      <c r="I51" s="97"/>
      <c r="J51" s="97"/>
      <c r="K51" s="97"/>
    </row>
    <row r="52" spans="5:11" x14ac:dyDescent="0.2">
      <c r="E52" s="97"/>
      <c r="F52" s="97"/>
      <c r="K52" s="97"/>
    </row>
    <row r="53" spans="5:11" x14ac:dyDescent="0.2">
      <c r="E53" s="99"/>
      <c r="F53" s="99"/>
    </row>
  </sheetData>
  <mergeCells count="20">
    <mergeCell ref="G10:H10"/>
    <mergeCell ref="I10:J10"/>
    <mergeCell ref="K10:K11"/>
    <mergeCell ref="Q10:Q11"/>
    <mergeCell ref="A8:A11"/>
    <mergeCell ref="B8:B11"/>
    <mergeCell ref="C8:C11"/>
    <mergeCell ref="D8:D11"/>
    <mergeCell ref="E8:F9"/>
    <mergeCell ref="G8:Q8"/>
    <mergeCell ref="G9:J9"/>
    <mergeCell ref="K9:Q9"/>
    <mergeCell ref="E10:E11"/>
    <mergeCell ref="F10:F11"/>
    <mergeCell ref="J7:Q7"/>
    <mergeCell ref="I4:Q4"/>
    <mergeCell ref="C2:Q2"/>
    <mergeCell ref="C1:Q1"/>
    <mergeCell ref="C3:K3"/>
    <mergeCell ref="B6:K6"/>
  </mergeCells>
  <pageMargins left="0.31496062992125984" right="0.31496062992125984" top="0.35433070866141736" bottom="0.35433070866141736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W88"/>
  <sheetViews>
    <sheetView workbookViewId="0">
      <selection activeCell="Y13" sqref="Y13"/>
    </sheetView>
  </sheetViews>
  <sheetFormatPr defaultColWidth="9.140625" defaultRowHeight="12.75" x14ac:dyDescent="0.2"/>
  <cols>
    <col min="1" max="1" width="4.28515625" style="4" customWidth="1"/>
    <col min="2" max="2" width="5" style="102" customWidth="1"/>
    <col min="3" max="3" width="49.5703125" style="4" customWidth="1"/>
    <col min="4" max="4" width="10.42578125" style="5" customWidth="1"/>
    <col min="5" max="6" width="8.42578125" style="4" customWidth="1"/>
    <col min="7" max="8" width="8.140625" style="4" customWidth="1"/>
    <col min="9" max="11" width="8.42578125" style="4" customWidth="1"/>
    <col min="12" max="12" width="9.5703125" style="132" hidden="1" customWidth="1"/>
    <col min="13" max="22" width="9.140625" style="3" hidden="1" customWidth="1"/>
    <col min="23" max="23" width="9.140625" style="2"/>
    <col min="24" max="256" width="9.140625" style="3"/>
    <col min="257" max="257" width="4.28515625" style="3" customWidth="1"/>
    <col min="258" max="258" width="5" style="3" customWidth="1"/>
    <col min="259" max="259" width="49.5703125" style="3" customWidth="1"/>
    <col min="260" max="260" width="10.42578125" style="3" customWidth="1"/>
    <col min="261" max="262" width="8.42578125" style="3" customWidth="1"/>
    <col min="263" max="264" width="8.140625" style="3" customWidth="1"/>
    <col min="265" max="267" width="8.42578125" style="3" customWidth="1"/>
    <col min="268" max="278" width="0" style="3" hidden="1" customWidth="1"/>
    <col min="279" max="512" width="9.140625" style="3"/>
    <col min="513" max="513" width="4.28515625" style="3" customWidth="1"/>
    <col min="514" max="514" width="5" style="3" customWidth="1"/>
    <col min="515" max="515" width="49.5703125" style="3" customWidth="1"/>
    <col min="516" max="516" width="10.42578125" style="3" customWidth="1"/>
    <col min="517" max="518" width="8.42578125" style="3" customWidth="1"/>
    <col min="519" max="520" width="8.140625" style="3" customWidth="1"/>
    <col min="521" max="523" width="8.42578125" style="3" customWidth="1"/>
    <col min="524" max="534" width="0" style="3" hidden="1" customWidth="1"/>
    <col min="535" max="768" width="9.140625" style="3"/>
    <col min="769" max="769" width="4.28515625" style="3" customWidth="1"/>
    <col min="770" max="770" width="5" style="3" customWidth="1"/>
    <col min="771" max="771" width="49.5703125" style="3" customWidth="1"/>
    <col min="772" max="772" width="10.42578125" style="3" customWidth="1"/>
    <col min="773" max="774" width="8.42578125" style="3" customWidth="1"/>
    <col min="775" max="776" width="8.140625" style="3" customWidth="1"/>
    <col min="777" max="779" width="8.42578125" style="3" customWidth="1"/>
    <col min="780" max="790" width="0" style="3" hidden="1" customWidth="1"/>
    <col min="791" max="1024" width="9.140625" style="3"/>
    <col min="1025" max="1025" width="4.28515625" style="3" customWidth="1"/>
    <col min="1026" max="1026" width="5" style="3" customWidth="1"/>
    <col min="1027" max="1027" width="49.5703125" style="3" customWidth="1"/>
    <col min="1028" max="1028" width="10.42578125" style="3" customWidth="1"/>
    <col min="1029" max="1030" width="8.42578125" style="3" customWidth="1"/>
    <col min="1031" max="1032" width="8.140625" style="3" customWidth="1"/>
    <col min="1033" max="1035" width="8.42578125" style="3" customWidth="1"/>
    <col min="1036" max="1046" width="0" style="3" hidden="1" customWidth="1"/>
    <col min="1047" max="1280" width="9.140625" style="3"/>
    <col min="1281" max="1281" width="4.28515625" style="3" customWidth="1"/>
    <col min="1282" max="1282" width="5" style="3" customWidth="1"/>
    <col min="1283" max="1283" width="49.5703125" style="3" customWidth="1"/>
    <col min="1284" max="1284" width="10.42578125" style="3" customWidth="1"/>
    <col min="1285" max="1286" width="8.42578125" style="3" customWidth="1"/>
    <col min="1287" max="1288" width="8.140625" style="3" customWidth="1"/>
    <col min="1289" max="1291" width="8.42578125" style="3" customWidth="1"/>
    <col min="1292" max="1302" width="0" style="3" hidden="1" customWidth="1"/>
    <col min="1303" max="1536" width="9.140625" style="3"/>
    <col min="1537" max="1537" width="4.28515625" style="3" customWidth="1"/>
    <col min="1538" max="1538" width="5" style="3" customWidth="1"/>
    <col min="1539" max="1539" width="49.5703125" style="3" customWidth="1"/>
    <col min="1540" max="1540" width="10.42578125" style="3" customWidth="1"/>
    <col min="1541" max="1542" width="8.42578125" style="3" customWidth="1"/>
    <col min="1543" max="1544" width="8.140625" style="3" customWidth="1"/>
    <col min="1545" max="1547" width="8.42578125" style="3" customWidth="1"/>
    <col min="1548" max="1558" width="0" style="3" hidden="1" customWidth="1"/>
    <col min="1559" max="1792" width="9.140625" style="3"/>
    <col min="1793" max="1793" width="4.28515625" style="3" customWidth="1"/>
    <col min="1794" max="1794" width="5" style="3" customWidth="1"/>
    <col min="1795" max="1795" width="49.5703125" style="3" customWidth="1"/>
    <col min="1796" max="1796" width="10.42578125" style="3" customWidth="1"/>
    <col min="1797" max="1798" width="8.42578125" style="3" customWidth="1"/>
    <col min="1799" max="1800" width="8.140625" style="3" customWidth="1"/>
    <col min="1801" max="1803" width="8.42578125" style="3" customWidth="1"/>
    <col min="1804" max="1814" width="0" style="3" hidden="1" customWidth="1"/>
    <col min="1815" max="2048" width="9.140625" style="3"/>
    <col min="2049" max="2049" width="4.28515625" style="3" customWidth="1"/>
    <col min="2050" max="2050" width="5" style="3" customWidth="1"/>
    <col min="2051" max="2051" width="49.5703125" style="3" customWidth="1"/>
    <col min="2052" max="2052" width="10.42578125" style="3" customWidth="1"/>
    <col min="2053" max="2054" width="8.42578125" style="3" customWidth="1"/>
    <col min="2055" max="2056" width="8.140625" style="3" customWidth="1"/>
    <col min="2057" max="2059" width="8.42578125" style="3" customWidth="1"/>
    <col min="2060" max="2070" width="0" style="3" hidden="1" customWidth="1"/>
    <col min="2071" max="2304" width="9.140625" style="3"/>
    <col min="2305" max="2305" width="4.28515625" style="3" customWidth="1"/>
    <col min="2306" max="2306" width="5" style="3" customWidth="1"/>
    <col min="2307" max="2307" width="49.5703125" style="3" customWidth="1"/>
    <col min="2308" max="2308" width="10.42578125" style="3" customWidth="1"/>
    <col min="2309" max="2310" width="8.42578125" style="3" customWidth="1"/>
    <col min="2311" max="2312" width="8.140625" style="3" customWidth="1"/>
    <col min="2313" max="2315" width="8.42578125" style="3" customWidth="1"/>
    <col min="2316" max="2326" width="0" style="3" hidden="1" customWidth="1"/>
    <col min="2327" max="2560" width="9.140625" style="3"/>
    <col min="2561" max="2561" width="4.28515625" style="3" customWidth="1"/>
    <col min="2562" max="2562" width="5" style="3" customWidth="1"/>
    <col min="2563" max="2563" width="49.5703125" style="3" customWidth="1"/>
    <col min="2564" max="2564" width="10.42578125" style="3" customWidth="1"/>
    <col min="2565" max="2566" width="8.42578125" style="3" customWidth="1"/>
    <col min="2567" max="2568" width="8.140625" style="3" customWidth="1"/>
    <col min="2569" max="2571" width="8.42578125" style="3" customWidth="1"/>
    <col min="2572" max="2582" width="0" style="3" hidden="1" customWidth="1"/>
    <col min="2583" max="2816" width="9.140625" style="3"/>
    <col min="2817" max="2817" width="4.28515625" style="3" customWidth="1"/>
    <col min="2818" max="2818" width="5" style="3" customWidth="1"/>
    <col min="2819" max="2819" width="49.5703125" style="3" customWidth="1"/>
    <col min="2820" max="2820" width="10.42578125" style="3" customWidth="1"/>
    <col min="2821" max="2822" width="8.42578125" style="3" customWidth="1"/>
    <col min="2823" max="2824" width="8.140625" style="3" customWidth="1"/>
    <col min="2825" max="2827" width="8.42578125" style="3" customWidth="1"/>
    <col min="2828" max="2838" width="0" style="3" hidden="1" customWidth="1"/>
    <col min="2839" max="3072" width="9.140625" style="3"/>
    <col min="3073" max="3073" width="4.28515625" style="3" customWidth="1"/>
    <col min="3074" max="3074" width="5" style="3" customWidth="1"/>
    <col min="3075" max="3075" width="49.5703125" style="3" customWidth="1"/>
    <col min="3076" max="3076" width="10.42578125" style="3" customWidth="1"/>
    <col min="3077" max="3078" width="8.42578125" style="3" customWidth="1"/>
    <col min="3079" max="3080" width="8.140625" style="3" customWidth="1"/>
    <col min="3081" max="3083" width="8.42578125" style="3" customWidth="1"/>
    <col min="3084" max="3094" width="0" style="3" hidden="1" customWidth="1"/>
    <col min="3095" max="3328" width="9.140625" style="3"/>
    <col min="3329" max="3329" width="4.28515625" style="3" customWidth="1"/>
    <col min="3330" max="3330" width="5" style="3" customWidth="1"/>
    <col min="3331" max="3331" width="49.5703125" style="3" customWidth="1"/>
    <col min="3332" max="3332" width="10.42578125" style="3" customWidth="1"/>
    <col min="3333" max="3334" width="8.42578125" style="3" customWidth="1"/>
    <col min="3335" max="3336" width="8.140625" style="3" customWidth="1"/>
    <col min="3337" max="3339" width="8.42578125" style="3" customWidth="1"/>
    <col min="3340" max="3350" width="0" style="3" hidden="1" customWidth="1"/>
    <col min="3351" max="3584" width="9.140625" style="3"/>
    <col min="3585" max="3585" width="4.28515625" style="3" customWidth="1"/>
    <col min="3586" max="3586" width="5" style="3" customWidth="1"/>
    <col min="3587" max="3587" width="49.5703125" style="3" customWidth="1"/>
    <col min="3588" max="3588" width="10.42578125" style="3" customWidth="1"/>
    <col min="3589" max="3590" width="8.42578125" style="3" customWidth="1"/>
    <col min="3591" max="3592" width="8.140625" style="3" customWidth="1"/>
    <col min="3593" max="3595" width="8.42578125" style="3" customWidth="1"/>
    <col min="3596" max="3606" width="0" style="3" hidden="1" customWidth="1"/>
    <col min="3607" max="3840" width="9.140625" style="3"/>
    <col min="3841" max="3841" width="4.28515625" style="3" customWidth="1"/>
    <col min="3842" max="3842" width="5" style="3" customWidth="1"/>
    <col min="3843" max="3843" width="49.5703125" style="3" customWidth="1"/>
    <col min="3844" max="3844" width="10.42578125" style="3" customWidth="1"/>
    <col min="3845" max="3846" width="8.42578125" style="3" customWidth="1"/>
    <col min="3847" max="3848" width="8.140625" style="3" customWidth="1"/>
    <col min="3849" max="3851" width="8.42578125" style="3" customWidth="1"/>
    <col min="3852" max="3862" width="0" style="3" hidden="1" customWidth="1"/>
    <col min="3863" max="4096" width="9.140625" style="3"/>
    <col min="4097" max="4097" width="4.28515625" style="3" customWidth="1"/>
    <col min="4098" max="4098" width="5" style="3" customWidth="1"/>
    <col min="4099" max="4099" width="49.5703125" style="3" customWidth="1"/>
    <col min="4100" max="4100" width="10.42578125" style="3" customWidth="1"/>
    <col min="4101" max="4102" width="8.42578125" style="3" customWidth="1"/>
    <col min="4103" max="4104" width="8.140625" style="3" customWidth="1"/>
    <col min="4105" max="4107" width="8.42578125" style="3" customWidth="1"/>
    <col min="4108" max="4118" width="0" style="3" hidden="1" customWidth="1"/>
    <col min="4119" max="4352" width="9.140625" style="3"/>
    <col min="4353" max="4353" width="4.28515625" style="3" customWidth="1"/>
    <col min="4354" max="4354" width="5" style="3" customWidth="1"/>
    <col min="4355" max="4355" width="49.5703125" style="3" customWidth="1"/>
    <col min="4356" max="4356" width="10.42578125" style="3" customWidth="1"/>
    <col min="4357" max="4358" width="8.42578125" style="3" customWidth="1"/>
    <col min="4359" max="4360" width="8.140625" style="3" customWidth="1"/>
    <col min="4361" max="4363" width="8.42578125" style="3" customWidth="1"/>
    <col min="4364" max="4374" width="0" style="3" hidden="1" customWidth="1"/>
    <col min="4375" max="4608" width="9.140625" style="3"/>
    <col min="4609" max="4609" width="4.28515625" style="3" customWidth="1"/>
    <col min="4610" max="4610" width="5" style="3" customWidth="1"/>
    <col min="4611" max="4611" width="49.5703125" style="3" customWidth="1"/>
    <col min="4612" max="4612" width="10.42578125" style="3" customWidth="1"/>
    <col min="4613" max="4614" width="8.42578125" style="3" customWidth="1"/>
    <col min="4615" max="4616" width="8.140625" style="3" customWidth="1"/>
    <col min="4617" max="4619" width="8.42578125" style="3" customWidth="1"/>
    <col min="4620" max="4630" width="0" style="3" hidden="1" customWidth="1"/>
    <col min="4631" max="4864" width="9.140625" style="3"/>
    <col min="4865" max="4865" width="4.28515625" style="3" customWidth="1"/>
    <col min="4866" max="4866" width="5" style="3" customWidth="1"/>
    <col min="4867" max="4867" width="49.5703125" style="3" customWidth="1"/>
    <col min="4868" max="4868" width="10.42578125" style="3" customWidth="1"/>
    <col min="4869" max="4870" width="8.42578125" style="3" customWidth="1"/>
    <col min="4871" max="4872" width="8.140625" style="3" customWidth="1"/>
    <col min="4873" max="4875" width="8.42578125" style="3" customWidth="1"/>
    <col min="4876" max="4886" width="0" style="3" hidden="1" customWidth="1"/>
    <col min="4887" max="5120" width="9.140625" style="3"/>
    <col min="5121" max="5121" width="4.28515625" style="3" customWidth="1"/>
    <col min="5122" max="5122" width="5" style="3" customWidth="1"/>
    <col min="5123" max="5123" width="49.5703125" style="3" customWidth="1"/>
    <col min="5124" max="5124" width="10.42578125" style="3" customWidth="1"/>
    <col min="5125" max="5126" width="8.42578125" style="3" customWidth="1"/>
    <col min="5127" max="5128" width="8.140625" style="3" customWidth="1"/>
    <col min="5129" max="5131" width="8.42578125" style="3" customWidth="1"/>
    <col min="5132" max="5142" width="0" style="3" hidden="1" customWidth="1"/>
    <col min="5143" max="5376" width="9.140625" style="3"/>
    <col min="5377" max="5377" width="4.28515625" style="3" customWidth="1"/>
    <col min="5378" max="5378" width="5" style="3" customWidth="1"/>
    <col min="5379" max="5379" width="49.5703125" style="3" customWidth="1"/>
    <col min="5380" max="5380" width="10.42578125" style="3" customWidth="1"/>
    <col min="5381" max="5382" width="8.42578125" style="3" customWidth="1"/>
    <col min="5383" max="5384" width="8.140625" style="3" customWidth="1"/>
    <col min="5385" max="5387" width="8.42578125" style="3" customWidth="1"/>
    <col min="5388" max="5398" width="0" style="3" hidden="1" customWidth="1"/>
    <col min="5399" max="5632" width="9.140625" style="3"/>
    <col min="5633" max="5633" width="4.28515625" style="3" customWidth="1"/>
    <col min="5634" max="5634" width="5" style="3" customWidth="1"/>
    <col min="5635" max="5635" width="49.5703125" style="3" customWidth="1"/>
    <col min="5636" max="5636" width="10.42578125" style="3" customWidth="1"/>
    <col min="5637" max="5638" width="8.42578125" style="3" customWidth="1"/>
    <col min="5639" max="5640" width="8.140625" style="3" customWidth="1"/>
    <col min="5641" max="5643" width="8.42578125" style="3" customWidth="1"/>
    <col min="5644" max="5654" width="0" style="3" hidden="1" customWidth="1"/>
    <col min="5655" max="5888" width="9.140625" style="3"/>
    <col min="5889" max="5889" width="4.28515625" style="3" customWidth="1"/>
    <col min="5890" max="5890" width="5" style="3" customWidth="1"/>
    <col min="5891" max="5891" width="49.5703125" style="3" customWidth="1"/>
    <col min="5892" max="5892" width="10.42578125" style="3" customWidth="1"/>
    <col min="5893" max="5894" width="8.42578125" style="3" customWidth="1"/>
    <col min="5895" max="5896" width="8.140625" style="3" customWidth="1"/>
    <col min="5897" max="5899" width="8.42578125" style="3" customWidth="1"/>
    <col min="5900" max="5910" width="0" style="3" hidden="1" customWidth="1"/>
    <col min="5911" max="6144" width="9.140625" style="3"/>
    <col min="6145" max="6145" width="4.28515625" style="3" customWidth="1"/>
    <col min="6146" max="6146" width="5" style="3" customWidth="1"/>
    <col min="6147" max="6147" width="49.5703125" style="3" customWidth="1"/>
    <col min="6148" max="6148" width="10.42578125" style="3" customWidth="1"/>
    <col min="6149" max="6150" width="8.42578125" style="3" customWidth="1"/>
    <col min="6151" max="6152" width="8.140625" style="3" customWidth="1"/>
    <col min="6153" max="6155" width="8.42578125" style="3" customWidth="1"/>
    <col min="6156" max="6166" width="0" style="3" hidden="1" customWidth="1"/>
    <col min="6167" max="6400" width="9.140625" style="3"/>
    <col min="6401" max="6401" width="4.28515625" style="3" customWidth="1"/>
    <col min="6402" max="6402" width="5" style="3" customWidth="1"/>
    <col min="6403" max="6403" width="49.5703125" style="3" customWidth="1"/>
    <col min="6404" max="6404" width="10.42578125" style="3" customWidth="1"/>
    <col min="6405" max="6406" width="8.42578125" style="3" customWidth="1"/>
    <col min="6407" max="6408" width="8.140625" style="3" customWidth="1"/>
    <col min="6409" max="6411" width="8.42578125" style="3" customWidth="1"/>
    <col min="6412" max="6422" width="0" style="3" hidden="1" customWidth="1"/>
    <col min="6423" max="6656" width="9.140625" style="3"/>
    <col min="6657" max="6657" width="4.28515625" style="3" customWidth="1"/>
    <col min="6658" max="6658" width="5" style="3" customWidth="1"/>
    <col min="6659" max="6659" width="49.5703125" style="3" customWidth="1"/>
    <col min="6660" max="6660" width="10.42578125" style="3" customWidth="1"/>
    <col min="6661" max="6662" width="8.42578125" style="3" customWidth="1"/>
    <col min="6663" max="6664" width="8.140625" style="3" customWidth="1"/>
    <col min="6665" max="6667" width="8.42578125" style="3" customWidth="1"/>
    <col min="6668" max="6678" width="0" style="3" hidden="1" customWidth="1"/>
    <col min="6679" max="6912" width="9.140625" style="3"/>
    <col min="6913" max="6913" width="4.28515625" style="3" customWidth="1"/>
    <col min="6914" max="6914" width="5" style="3" customWidth="1"/>
    <col min="6915" max="6915" width="49.5703125" style="3" customWidth="1"/>
    <col min="6916" max="6916" width="10.42578125" style="3" customWidth="1"/>
    <col min="6917" max="6918" width="8.42578125" style="3" customWidth="1"/>
    <col min="6919" max="6920" width="8.140625" style="3" customWidth="1"/>
    <col min="6921" max="6923" width="8.42578125" style="3" customWidth="1"/>
    <col min="6924" max="6934" width="0" style="3" hidden="1" customWidth="1"/>
    <col min="6935" max="7168" width="9.140625" style="3"/>
    <col min="7169" max="7169" width="4.28515625" style="3" customWidth="1"/>
    <col min="7170" max="7170" width="5" style="3" customWidth="1"/>
    <col min="7171" max="7171" width="49.5703125" style="3" customWidth="1"/>
    <col min="7172" max="7172" width="10.42578125" style="3" customWidth="1"/>
    <col min="7173" max="7174" width="8.42578125" style="3" customWidth="1"/>
    <col min="7175" max="7176" width="8.140625" style="3" customWidth="1"/>
    <col min="7177" max="7179" width="8.42578125" style="3" customWidth="1"/>
    <col min="7180" max="7190" width="0" style="3" hidden="1" customWidth="1"/>
    <col min="7191" max="7424" width="9.140625" style="3"/>
    <col min="7425" max="7425" width="4.28515625" style="3" customWidth="1"/>
    <col min="7426" max="7426" width="5" style="3" customWidth="1"/>
    <col min="7427" max="7427" width="49.5703125" style="3" customWidth="1"/>
    <col min="7428" max="7428" width="10.42578125" style="3" customWidth="1"/>
    <col min="7429" max="7430" width="8.42578125" style="3" customWidth="1"/>
    <col min="7431" max="7432" width="8.140625" style="3" customWidth="1"/>
    <col min="7433" max="7435" width="8.42578125" style="3" customWidth="1"/>
    <col min="7436" max="7446" width="0" style="3" hidden="1" customWidth="1"/>
    <col min="7447" max="7680" width="9.140625" style="3"/>
    <col min="7681" max="7681" width="4.28515625" style="3" customWidth="1"/>
    <col min="7682" max="7682" width="5" style="3" customWidth="1"/>
    <col min="7683" max="7683" width="49.5703125" style="3" customWidth="1"/>
    <col min="7684" max="7684" width="10.42578125" style="3" customWidth="1"/>
    <col min="7685" max="7686" width="8.42578125" style="3" customWidth="1"/>
    <col min="7687" max="7688" width="8.140625" style="3" customWidth="1"/>
    <col min="7689" max="7691" width="8.42578125" style="3" customWidth="1"/>
    <col min="7692" max="7702" width="0" style="3" hidden="1" customWidth="1"/>
    <col min="7703" max="7936" width="9.140625" style="3"/>
    <col min="7937" max="7937" width="4.28515625" style="3" customWidth="1"/>
    <col min="7938" max="7938" width="5" style="3" customWidth="1"/>
    <col min="7939" max="7939" width="49.5703125" style="3" customWidth="1"/>
    <col min="7940" max="7940" width="10.42578125" style="3" customWidth="1"/>
    <col min="7941" max="7942" width="8.42578125" style="3" customWidth="1"/>
    <col min="7943" max="7944" width="8.140625" style="3" customWidth="1"/>
    <col min="7945" max="7947" width="8.42578125" style="3" customWidth="1"/>
    <col min="7948" max="7958" width="0" style="3" hidden="1" customWidth="1"/>
    <col min="7959" max="8192" width="9.140625" style="3"/>
    <col min="8193" max="8193" width="4.28515625" style="3" customWidth="1"/>
    <col min="8194" max="8194" width="5" style="3" customWidth="1"/>
    <col min="8195" max="8195" width="49.5703125" style="3" customWidth="1"/>
    <col min="8196" max="8196" width="10.42578125" style="3" customWidth="1"/>
    <col min="8197" max="8198" width="8.42578125" style="3" customWidth="1"/>
    <col min="8199" max="8200" width="8.140625" style="3" customWidth="1"/>
    <col min="8201" max="8203" width="8.42578125" style="3" customWidth="1"/>
    <col min="8204" max="8214" width="0" style="3" hidden="1" customWidth="1"/>
    <col min="8215" max="8448" width="9.140625" style="3"/>
    <col min="8449" max="8449" width="4.28515625" style="3" customWidth="1"/>
    <col min="8450" max="8450" width="5" style="3" customWidth="1"/>
    <col min="8451" max="8451" width="49.5703125" style="3" customWidth="1"/>
    <col min="8452" max="8452" width="10.42578125" style="3" customWidth="1"/>
    <col min="8453" max="8454" width="8.42578125" style="3" customWidth="1"/>
    <col min="8455" max="8456" width="8.140625" style="3" customWidth="1"/>
    <col min="8457" max="8459" width="8.42578125" style="3" customWidth="1"/>
    <col min="8460" max="8470" width="0" style="3" hidden="1" customWidth="1"/>
    <col min="8471" max="8704" width="9.140625" style="3"/>
    <col min="8705" max="8705" width="4.28515625" style="3" customWidth="1"/>
    <col min="8706" max="8706" width="5" style="3" customWidth="1"/>
    <col min="8707" max="8707" width="49.5703125" style="3" customWidth="1"/>
    <col min="8708" max="8708" width="10.42578125" style="3" customWidth="1"/>
    <col min="8709" max="8710" width="8.42578125" style="3" customWidth="1"/>
    <col min="8711" max="8712" width="8.140625" style="3" customWidth="1"/>
    <col min="8713" max="8715" width="8.42578125" style="3" customWidth="1"/>
    <col min="8716" max="8726" width="0" style="3" hidden="1" customWidth="1"/>
    <col min="8727" max="8960" width="9.140625" style="3"/>
    <col min="8961" max="8961" width="4.28515625" style="3" customWidth="1"/>
    <col min="8962" max="8962" width="5" style="3" customWidth="1"/>
    <col min="8963" max="8963" width="49.5703125" style="3" customWidth="1"/>
    <col min="8964" max="8964" width="10.42578125" style="3" customWidth="1"/>
    <col min="8965" max="8966" width="8.42578125" style="3" customWidth="1"/>
    <col min="8967" max="8968" width="8.140625" style="3" customWidth="1"/>
    <col min="8969" max="8971" width="8.42578125" style="3" customWidth="1"/>
    <col min="8972" max="8982" width="0" style="3" hidden="1" customWidth="1"/>
    <col min="8983" max="9216" width="9.140625" style="3"/>
    <col min="9217" max="9217" width="4.28515625" style="3" customWidth="1"/>
    <col min="9218" max="9218" width="5" style="3" customWidth="1"/>
    <col min="9219" max="9219" width="49.5703125" style="3" customWidth="1"/>
    <col min="9220" max="9220" width="10.42578125" style="3" customWidth="1"/>
    <col min="9221" max="9222" width="8.42578125" style="3" customWidth="1"/>
    <col min="9223" max="9224" width="8.140625" style="3" customWidth="1"/>
    <col min="9225" max="9227" width="8.42578125" style="3" customWidth="1"/>
    <col min="9228" max="9238" width="0" style="3" hidden="1" customWidth="1"/>
    <col min="9239" max="9472" width="9.140625" style="3"/>
    <col min="9473" max="9473" width="4.28515625" style="3" customWidth="1"/>
    <col min="9474" max="9474" width="5" style="3" customWidth="1"/>
    <col min="9475" max="9475" width="49.5703125" style="3" customWidth="1"/>
    <col min="9476" max="9476" width="10.42578125" style="3" customWidth="1"/>
    <col min="9477" max="9478" width="8.42578125" style="3" customWidth="1"/>
    <col min="9479" max="9480" width="8.140625" style="3" customWidth="1"/>
    <col min="9481" max="9483" width="8.42578125" style="3" customWidth="1"/>
    <col min="9484" max="9494" width="0" style="3" hidden="1" customWidth="1"/>
    <col min="9495" max="9728" width="9.140625" style="3"/>
    <col min="9729" max="9729" width="4.28515625" style="3" customWidth="1"/>
    <col min="9730" max="9730" width="5" style="3" customWidth="1"/>
    <col min="9731" max="9731" width="49.5703125" style="3" customWidth="1"/>
    <col min="9732" max="9732" width="10.42578125" style="3" customWidth="1"/>
    <col min="9733" max="9734" width="8.42578125" style="3" customWidth="1"/>
    <col min="9735" max="9736" width="8.140625" style="3" customWidth="1"/>
    <col min="9737" max="9739" width="8.42578125" style="3" customWidth="1"/>
    <col min="9740" max="9750" width="0" style="3" hidden="1" customWidth="1"/>
    <col min="9751" max="9984" width="9.140625" style="3"/>
    <col min="9985" max="9985" width="4.28515625" style="3" customWidth="1"/>
    <col min="9986" max="9986" width="5" style="3" customWidth="1"/>
    <col min="9987" max="9987" width="49.5703125" style="3" customWidth="1"/>
    <col min="9988" max="9988" width="10.42578125" style="3" customWidth="1"/>
    <col min="9989" max="9990" width="8.42578125" style="3" customWidth="1"/>
    <col min="9991" max="9992" width="8.140625" style="3" customWidth="1"/>
    <col min="9993" max="9995" width="8.42578125" style="3" customWidth="1"/>
    <col min="9996" max="10006" width="0" style="3" hidden="1" customWidth="1"/>
    <col min="10007" max="10240" width="9.140625" style="3"/>
    <col min="10241" max="10241" width="4.28515625" style="3" customWidth="1"/>
    <col min="10242" max="10242" width="5" style="3" customWidth="1"/>
    <col min="10243" max="10243" width="49.5703125" style="3" customWidth="1"/>
    <col min="10244" max="10244" width="10.42578125" style="3" customWidth="1"/>
    <col min="10245" max="10246" width="8.42578125" style="3" customWidth="1"/>
    <col min="10247" max="10248" width="8.140625" style="3" customWidth="1"/>
    <col min="10249" max="10251" width="8.42578125" style="3" customWidth="1"/>
    <col min="10252" max="10262" width="0" style="3" hidden="1" customWidth="1"/>
    <col min="10263" max="10496" width="9.140625" style="3"/>
    <col min="10497" max="10497" width="4.28515625" style="3" customWidth="1"/>
    <col min="10498" max="10498" width="5" style="3" customWidth="1"/>
    <col min="10499" max="10499" width="49.5703125" style="3" customWidth="1"/>
    <col min="10500" max="10500" width="10.42578125" style="3" customWidth="1"/>
    <col min="10501" max="10502" width="8.42578125" style="3" customWidth="1"/>
    <col min="10503" max="10504" width="8.140625" style="3" customWidth="1"/>
    <col min="10505" max="10507" width="8.42578125" style="3" customWidth="1"/>
    <col min="10508" max="10518" width="0" style="3" hidden="1" customWidth="1"/>
    <col min="10519" max="10752" width="9.140625" style="3"/>
    <col min="10753" max="10753" width="4.28515625" style="3" customWidth="1"/>
    <col min="10754" max="10754" width="5" style="3" customWidth="1"/>
    <col min="10755" max="10755" width="49.5703125" style="3" customWidth="1"/>
    <col min="10756" max="10756" width="10.42578125" style="3" customWidth="1"/>
    <col min="10757" max="10758" width="8.42578125" style="3" customWidth="1"/>
    <col min="10759" max="10760" width="8.140625" style="3" customWidth="1"/>
    <col min="10761" max="10763" width="8.42578125" style="3" customWidth="1"/>
    <col min="10764" max="10774" width="0" style="3" hidden="1" customWidth="1"/>
    <col min="10775" max="11008" width="9.140625" style="3"/>
    <col min="11009" max="11009" width="4.28515625" style="3" customWidth="1"/>
    <col min="11010" max="11010" width="5" style="3" customWidth="1"/>
    <col min="11011" max="11011" width="49.5703125" style="3" customWidth="1"/>
    <col min="11012" max="11012" width="10.42578125" style="3" customWidth="1"/>
    <col min="11013" max="11014" width="8.42578125" style="3" customWidth="1"/>
    <col min="11015" max="11016" width="8.140625" style="3" customWidth="1"/>
    <col min="11017" max="11019" width="8.42578125" style="3" customWidth="1"/>
    <col min="11020" max="11030" width="0" style="3" hidden="1" customWidth="1"/>
    <col min="11031" max="11264" width="9.140625" style="3"/>
    <col min="11265" max="11265" width="4.28515625" style="3" customWidth="1"/>
    <col min="11266" max="11266" width="5" style="3" customWidth="1"/>
    <col min="11267" max="11267" width="49.5703125" style="3" customWidth="1"/>
    <col min="11268" max="11268" width="10.42578125" style="3" customWidth="1"/>
    <col min="11269" max="11270" width="8.42578125" style="3" customWidth="1"/>
    <col min="11271" max="11272" width="8.140625" style="3" customWidth="1"/>
    <col min="11273" max="11275" width="8.42578125" style="3" customWidth="1"/>
    <col min="11276" max="11286" width="0" style="3" hidden="1" customWidth="1"/>
    <col min="11287" max="11520" width="9.140625" style="3"/>
    <col min="11521" max="11521" width="4.28515625" style="3" customWidth="1"/>
    <col min="11522" max="11522" width="5" style="3" customWidth="1"/>
    <col min="11523" max="11523" width="49.5703125" style="3" customWidth="1"/>
    <col min="11524" max="11524" width="10.42578125" style="3" customWidth="1"/>
    <col min="11525" max="11526" width="8.42578125" style="3" customWidth="1"/>
    <col min="11527" max="11528" width="8.140625" style="3" customWidth="1"/>
    <col min="11529" max="11531" width="8.42578125" style="3" customWidth="1"/>
    <col min="11532" max="11542" width="0" style="3" hidden="1" customWidth="1"/>
    <col min="11543" max="11776" width="9.140625" style="3"/>
    <col min="11777" max="11777" width="4.28515625" style="3" customWidth="1"/>
    <col min="11778" max="11778" width="5" style="3" customWidth="1"/>
    <col min="11779" max="11779" width="49.5703125" style="3" customWidth="1"/>
    <col min="11780" max="11780" width="10.42578125" style="3" customWidth="1"/>
    <col min="11781" max="11782" width="8.42578125" style="3" customWidth="1"/>
    <col min="11783" max="11784" width="8.140625" style="3" customWidth="1"/>
    <col min="11785" max="11787" width="8.42578125" style="3" customWidth="1"/>
    <col min="11788" max="11798" width="0" style="3" hidden="1" customWidth="1"/>
    <col min="11799" max="12032" width="9.140625" style="3"/>
    <col min="12033" max="12033" width="4.28515625" style="3" customWidth="1"/>
    <col min="12034" max="12034" width="5" style="3" customWidth="1"/>
    <col min="12035" max="12035" width="49.5703125" style="3" customWidth="1"/>
    <col min="12036" max="12036" width="10.42578125" style="3" customWidth="1"/>
    <col min="12037" max="12038" width="8.42578125" style="3" customWidth="1"/>
    <col min="12039" max="12040" width="8.140625" style="3" customWidth="1"/>
    <col min="12041" max="12043" width="8.42578125" style="3" customWidth="1"/>
    <col min="12044" max="12054" width="0" style="3" hidden="1" customWidth="1"/>
    <col min="12055" max="12288" width="9.140625" style="3"/>
    <col min="12289" max="12289" width="4.28515625" style="3" customWidth="1"/>
    <col min="12290" max="12290" width="5" style="3" customWidth="1"/>
    <col min="12291" max="12291" width="49.5703125" style="3" customWidth="1"/>
    <col min="12292" max="12292" width="10.42578125" style="3" customWidth="1"/>
    <col min="12293" max="12294" width="8.42578125" style="3" customWidth="1"/>
    <col min="12295" max="12296" width="8.140625" style="3" customWidth="1"/>
    <col min="12297" max="12299" width="8.42578125" style="3" customWidth="1"/>
    <col min="12300" max="12310" width="0" style="3" hidden="1" customWidth="1"/>
    <col min="12311" max="12544" width="9.140625" style="3"/>
    <col min="12545" max="12545" width="4.28515625" style="3" customWidth="1"/>
    <col min="12546" max="12546" width="5" style="3" customWidth="1"/>
    <col min="12547" max="12547" width="49.5703125" style="3" customWidth="1"/>
    <col min="12548" max="12548" width="10.42578125" style="3" customWidth="1"/>
    <col min="12549" max="12550" width="8.42578125" style="3" customWidth="1"/>
    <col min="12551" max="12552" width="8.140625" style="3" customWidth="1"/>
    <col min="12553" max="12555" width="8.42578125" style="3" customWidth="1"/>
    <col min="12556" max="12566" width="0" style="3" hidden="1" customWidth="1"/>
    <col min="12567" max="12800" width="9.140625" style="3"/>
    <col min="12801" max="12801" width="4.28515625" style="3" customWidth="1"/>
    <col min="12802" max="12802" width="5" style="3" customWidth="1"/>
    <col min="12803" max="12803" width="49.5703125" style="3" customWidth="1"/>
    <col min="12804" max="12804" width="10.42578125" style="3" customWidth="1"/>
    <col min="12805" max="12806" width="8.42578125" style="3" customWidth="1"/>
    <col min="12807" max="12808" width="8.140625" style="3" customWidth="1"/>
    <col min="12809" max="12811" width="8.42578125" style="3" customWidth="1"/>
    <col min="12812" max="12822" width="0" style="3" hidden="1" customWidth="1"/>
    <col min="12823" max="13056" width="9.140625" style="3"/>
    <col min="13057" max="13057" width="4.28515625" style="3" customWidth="1"/>
    <col min="13058" max="13058" width="5" style="3" customWidth="1"/>
    <col min="13059" max="13059" width="49.5703125" style="3" customWidth="1"/>
    <col min="13060" max="13060" width="10.42578125" style="3" customWidth="1"/>
    <col min="13061" max="13062" width="8.42578125" style="3" customWidth="1"/>
    <col min="13063" max="13064" width="8.140625" style="3" customWidth="1"/>
    <col min="13065" max="13067" width="8.42578125" style="3" customWidth="1"/>
    <col min="13068" max="13078" width="0" style="3" hidden="1" customWidth="1"/>
    <col min="13079" max="13312" width="9.140625" style="3"/>
    <col min="13313" max="13313" width="4.28515625" style="3" customWidth="1"/>
    <col min="13314" max="13314" width="5" style="3" customWidth="1"/>
    <col min="13315" max="13315" width="49.5703125" style="3" customWidth="1"/>
    <col min="13316" max="13316" width="10.42578125" style="3" customWidth="1"/>
    <col min="13317" max="13318" width="8.42578125" style="3" customWidth="1"/>
    <col min="13319" max="13320" width="8.140625" style="3" customWidth="1"/>
    <col min="13321" max="13323" width="8.42578125" style="3" customWidth="1"/>
    <col min="13324" max="13334" width="0" style="3" hidden="1" customWidth="1"/>
    <col min="13335" max="13568" width="9.140625" style="3"/>
    <col min="13569" max="13569" width="4.28515625" style="3" customWidth="1"/>
    <col min="13570" max="13570" width="5" style="3" customWidth="1"/>
    <col min="13571" max="13571" width="49.5703125" style="3" customWidth="1"/>
    <col min="13572" max="13572" width="10.42578125" style="3" customWidth="1"/>
    <col min="13573" max="13574" width="8.42578125" style="3" customWidth="1"/>
    <col min="13575" max="13576" width="8.140625" style="3" customWidth="1"/>
    <col min="13577" max="13579" width="8.42578125" style="3" customWidth="1"/>
    <col min="13580" max="13590" width="0" style="3" hidden="1" customWidth="1"/>
    <col min="13591" max="13824" width="9.140625" style="3"/>
    <col min="13825" max="13825" width="4.28515625" style="3" customWidth="1"/>
    <col min="13826" max="13826" width="5" style="3" customWidth="1"/>
    <col min="13827" max="13827" width="49.5703125" style="3" customWidth="1"/>
    <col min="13828" max="13828" width="10.42578125" style="3" customWidth="1"/>
    <col min="13829" max="13830" width="8.42578125" style="3" customWidth="1"/>
    <col min="13831" max="13832" width="8.140625" style="3" customWidth="1"/>
    <col min="13833" max="13835" width="8.42578125" style="3" customWidth="1"/>
    <col min="13836" max="13846" width="0" style="3" hidden="1" customWidth="1"/>
    <col min="13847" max="14080" width="9.140625" style="3"/>
    <col min="14081" max="14081" width="4.28515625" style="3" customWidth="1"/>
    <col min="14082" max="14082" width="5" style="3" customWidth="1"/>
    <col min="14083" max="14083" width="49.5703125" style="3" customWidth="1"/>
    <col min="14084" max="14084" width="10.42578125" style="3" customWidth="1"/>
    <col min="14085" max="14086" width="8.42578125" style="3" customWidth="1"/>
    <col min="14087" max="14088" width="8.140625" style="3" customWidth="1"/>
    <col min="14089" max="14091" width="8.42578125" style="3" customWidth="1"/>
    <col min="14092" max="14102" width="0" style="3" hidden="1" customWidth="1"/>
    <col min="14103" max="14336" width="9.140625" style="3"/>
    <col min="14337" max="14337" width="4.28515625" style="3" customWidth="1"/>
    <col min="14338" max="14338" width="5" style="3" customWidth="1"/>
    <col min="14339" max="14339" width="49.5703125" style="3" customWidth="1"/>
    <col min="14340" max="14340" width="10.42578125" style="3" customWidth="1"/>
    <col min="14341" max="14342" width="8.42578125" style="3" customWidth="1"/>
    <col min="14343" max="14344" width="8.140625" style="3" customWidth="1"/>
    <col min="14345" max="14347" width="8.42578125" style="3" customWidth="1"/>
    <col min="14348" max="14358" width="0" style="3" hidden="1" customWidth="1"/>
    <col min="14359" max="14592" width="9.140625" style="3"/>
    <col min="14593" max="14593" width="4.28515625" style="3" customWidth="1"/>
    <col min="14594" max="14594" width="5" style="3" customWidth="1"/>
    <col min="14595" max="14595" width="49.5703125" style="3" customWidth="1"/>
    <col min="14596" max="14596" width="10.42578125" style="3" customWidth="1"/>
    <col min="14597" max="14598" width="8.42578125" style="3" customWidth="1"/>
    <col min="14599" max="14600" width="8.140625" style="3" customWidth="1"/>
    <col min="14601" max="14603" width="8.42578125" style="3" customWidth="1"/>
    <col min="14604" max="14614" width="0" style="3" hidden="1" customWidth="1"/>
    <col min="14615" max="14848" width="9.140625" style="3"/>
    <col min="14849" max="14849" width="4.28515625" style="3" customWidth="1"/>
    <col min="14850" max="14850" width="5" style="3" customWidth="1"/>
    <col min="14851" max="14851" width="49.5703125" style="3" customWidth="1"/>
    <col min="14852" max="14852" width="10.42578125" style="3" customWidth="1"/>
    <col min="14853" max="14854" width="8.42578125" style="3" customWidth="1"/>
    <col min="14855" max="14856" width="8.140625" style="3" customWidth="1"/>
    <col min="14857" max="14859" width="8.42578125" style="3" customWidth="1"/>
    <col min="14860" max="14870" width="0" style="3" hidden="1" customWidth="1"/>
    <col min="14871" max="15104" width="9.140625" style="3"/>
    <col min="15105" max="15105" width="4.28515625" style="3" customWidth="1"/>
    <col min="15106" max="15106" width="5" style="3" customWidth="1"/>
    <col min="15107" max="15107" width="49.5703125" style="3" customWidth="1"/>
    <col min="15108" max="15108" width="10.42578125" style="3" customWidth="1"/>
    <col min="15109" max="15110" width="8.42578125" style="3" customWidth="1"/>
    <col min="15111" max="15112" width="8.140625" style="3" customWidth="1"/>
    <col min="15113" max="15115" width="8.42578125" style="3" customWidth="1"/>
    <col min="15116" max="15126" width="0" style="3" hidden="1" customWidth="1"/>
    <col min="15127" max="15360" width="9.140625" style="3"/>
    <col min="15361" max="15361" width="4.28515625" style="3" customWidth="1"/>
    <col min="15362" max="15362" width="5" style="3" customWidth="1"/>
    <col min="15363" max="15363" width="49.5703125" style="3" customWidth="1"/>
    <col min="15364" max="15364" width="10.42578125" style="3" customWidth="1"/>
    <col min="15365" max="15366" width="8.42578125" style="3" customWidth="1"/>
    <col min="15367" max="15368" width="8.140625" style="3" customWidth="1"/>
    <col min="15369" max="15371" width="8.42578125" style="3" customWidth="1"/>
    <col min="15372" max="15382" width="0" style="3" hidden="1" customWidth="1"/>
    <col min="15383" max="15616" width="9.140625" style="3"/>
    <col min="15617" max="15617" width="4.28515625" style="3" customWidth="1"/>
    <col min="15618" max="15618" width="5" style="3" customWidth="1"/>
    <col min="15619" max="15619" width="49.5703125" style="3" customWidth="1"/>
    <col min="15620" max="15620" width="10.42578125" style="3" customWidth="1"/>
    <col min="15621" max="15622" width="8.42578125" style="3" customWidth="1"/>
    <col min="15623" max="15624" width="8.140625" style="3" customWidth="1"/>
    <col min="15625" max="15627" width="8.42578125" style="3" customWidth="1"/>
    <col min="15628" max="15638" width="0" style="3" hidden="1" customWidth="1"/>
    <col min="15639" max="15872" width="9.140625" style="3"/>
    <col min="15873" max="15873" width="4.28515625" style="3" customWidth="1"/>
    <col min="15874" max="15874" width="5" style="3" customWidth="1"/>
    <col min="15875" max="15875" width="49.5703125" style="3" customWidth="1"/>
    <col min="15876" max="15876" width="10.42578125" style="3" customWidth="1"/>
    <col min="15877" max="15878" width="8.42578125" style="3" customWidth="1"/>
    <col min="15879" max="15880" width="8.140625" style="3" customWidth="1"/>
    <col min="15881" max="15883" width="8.42578125" style="3" customWidth="1"/>
    <col min="15884" max="15894" width="0" style="3" hidden="1" customWidth="1"/>
    <col min="15895" max="16128" width="9.140625" style="3"/>
    <col min="16129" max="16129" width="4.28515625" style="3" customWidth="1"/>
    <col min="16130" max="16130" width="5" style="3" customWidth="1"/>
    <col min="16131" max="16131" width="49.5703125" style="3" customWidth="1"/>
    <col min="16132" max="16132" width="10.42578125" style="3" customWidth="1"/>
    <col min="16133" max="16134" width="8.42578125" style="3" customWidth="1"/>
    <col min="16135" max="16136" width="8.140625" style="3" customWidth="1"/>
    <col min="16137" max="16139" width="8.42578125" style="3" customWidth="1"/>
    <col min="16140" max="16150" width="0" style="3" hidden="1" customWidth="1"/>
    <col min="16151" max="16384" width="9.140625" style="3"/>
  </cols>
  <sheetData>
    <row r="1" spans="1:23" ht="15.75" customHeight="1" x14ac:dyDescent="0.2">
      <c r="C1" s="239" t="s">
        <v>748</v>
      </c>
      <c r="D1" s="239"/>
      <c r="E1" s="239"/>
      <c r="F1" s="239"/>
      <c r="G1" s="239"/>
      <c r="H1" s="239"/>
      <c r="I1" s="239"/>
      <c r="J1" s="239"/>
      <c r="K1" s="239"/>
      <c r="L1" s="239"/>
      <c r="M1" s="239"/>
      <c r="N1" s="239"/>
      <c r="O1" s="239"/>
      <c r="P1" s="239"/>
      <c r="Q1" s="239"/>
      <c r="R1" s="239"/>
      <c r="S1" s="239"/>
      <c r="T1" s="239"/>
      <c r="U1" s="239"/>
      <c r="V1" s="239"/>
      <c r="W1" s="239"/>
    </row>
    <row r="2" spans="1:23" ht="15.75" customHeight="1" x14ac:dyDescent="0.2">
      <c r="C2" s="239" t="s">
        <v>763</v>
      </c>
      <c r="D2" s="239"/>
      <c r="E2" s="239"/>
      <c r="F2" s="239"/>
      <c r="G2" s="239"/>
      <c r="H2" s="239"/>
      <c r="I2" s="239"/>
      <c r="J2" s="239"/>
      <c r="K2" s="239"/>
      <c r="L2" s="239"/>
      <c r="M2" s="239"/>
      <c r="N2" s="239"/>
      <c r="O2" s="239"/>
      <c r="P2" s="239"/>
      <c r="Q2" s="239"/>
      <c r="R2" s="239"/>
      <c r="S2" s="239"/>
      <c r="T2" s="239"/>
      <c r="U2" s="239"/>
      <c r="V2" s="239"/>
      <c r="W2" s="239"/>
    </row>
    <row r="3" spans="1:23" ht="15.75" hidden="1" customHeight="1" x14ac:dyDescent="0.2">
      <c r="C3" s="239" t="s">
        <v>0</v>
      </c>
      <c r="D3" s="239"/>
      <c r="E3" s="239"/>
      <c r="F3" s="239"/>
      <c r="G3" s="239"/>
      <c r="H3" s="239"/>
      <c r="I3" s="239"/>
      <c r="J3" s="239"/>
      <c r="K3" s="239"/>
    </row>
    <row r="4" spans="1:23" x14ac:dyDescent="0.2">
      <c r="B4" s="5"/>
      <c r="E4" s="259" t="s">
        <v>514</v>
      </c>
      <c r="F4" s="259"/>
      <c r="G4" s="259"/>
      <c r="H4" s="259"/>
      <c r="I4" s="259"/>
      <c r="J4" s="259"/>
      <c r="K4" s="259"/>
      <c r="L4" s="259"/>
      <c r="M4" s="259"/>
      <c r="N4" s="259"/>
      <c r="O4" s="259"/>
      <c r="P4" s="259"/>
      <c r="Q4" s="259"/>
      <c r="R4" s="259"/>
      <c r="S4" s="259"/>
      <c r="T4" s="259"/>
      <c r="U4" s="259"/>
      <c r="V4" s="259"/>
      <c r="W4" s="259"/>
    </row>
    <row r="5" spans="1:23" ht="15.75" x14ac:dyDescent="0.2">
      <c r="B5" s="5"/>
      <c r="E5" s="6"/>
      <c r="F5" s="6"/>
      <c r="G5" s="6"/>
      <c r="H5" s="6"/>
      <c r="I5" s="6"/>
      <c r="J5" s="6"/>
      <c r="K5" s="6"/>
      <c r="L5" s="3"/>
    </row>
    <row r="6" spans="1:23" ht="30" customHeight="1" x14ac:dyDescent="0.2">
      <c r="A6" s="257" t="s">
        <v>528</v>
      </c>
      <c r="B6" s="257"/>
      <c r="C6" s="257"/>
      <c r="D6" s="257"/>
      <c r="E6" s="257"/>
      <c r="F6" s="257"/>
      <c r="G6" s="257"/>
      <c r="H6" s="257"/>
      <c r="I6" s="257"/>
      <c r="J6" s="257"/>
      <c r="K6" s="257"/>
      <c r="L6" s="3"/>
    </row>
    <row r="7" spans="1:23" x14ac:dyDescent="0.2">
      <c r="B7" s="5"/>
      <c r="E7" s="1"/>
      <c r="F7" s="1"/>
      <c r="G7" s="1"/>
      <c r="H7" s="1"/>
      <c r="I7" s="259" t="s">
        <v>3</v>
      </c>
      <c r="J7" s="259"/>
      <c r="K7" s="259"/>
      <c r="L7" s="259"/>
      <c r="M7" s="259"/>
      <c r="N7" s="259"/>
      <c r="O7" s="259"/>
      <c r="P7" s="259"/>
      <c r="Q7" s="259"/>
      <c r="R7" s="259"/>
      <c r="S7" s="259"/>
      <c r="T7" s="259"/>
      <c r="U7" s="259"/>
      <c r="V7" s="259"/>
      <c r="W7" s="259"/>
    </row>
    <row r="8" spans="1:23" ht="12.75" customHeight="1" x14ac:dyDescent="0.2">
      <c r="A8" s="242" t="s">
        <v>504</v>
      </c>
      <c r="B8" s="265" t="s">
        <v>5</v>
      </c>
      <c r="C8" s="242" t="s">
        <v>6</v>
      </c>
      <c r="D8" s="268" t="s">
        <v>7</v>
      </c>
      <c r="E8" s="246" t="s">
        <v>8</v>
      </c>
      <c r="F8" s="247"/>
      <c r="G8" s="253" t="s">
        <v>529</v>
      </c>
      <c r="H8" s="254"/>
      <c r="I8" s="254"/>
      <c r="J8" s="254"/>
      <c r="K8" s="254"/>
      <c r="L8" s="254"/>
      <c r="M8" s="254"/>
      <c r="N8" s="254"/>
      <c r="O8" s="254"/>
      <c r="P8" s="254"/>
      <c r="Q8" s="254"/>
      <c r="R8" s="254"/>
      <c r="S8" s="254"/>
      <c r="T8" s="254"/>
      <c r="U8" s="254"/>
      <c r="V8" s="254"/>
      <c r="W8" s="255"/>
    </row>
    <row r="9" spans="1:23" ht="18.600000000000001" customHeight="1" x14ac:dyDescent="0.2">
      <c r="A9" s="264"/>
      <c r="B9" s="266"/>
      <c r="C9" s="264"/>
      <c r="D9" s="269"/>
      <c r="E9" s="248"/>
      <c r="F9" s="249"/>
      <c r="G9" s="253" t="s">
        <v>530</v>
      </c>
      <c r="H9" s="254"/>
      <c r="I9" s="254"/>
      <c r="J9" s="255"/>
      <c r="K9" s="246" t="s">
        <v>531</v>
      </c>
      <c r="L9" s="256"/>
      <c r="M9" s="256"/>
      <c r="N9" s="256"/>
      <c r="O9" s="256"/>
      <c r="P9" s="256"/>
      <c r="Q9" s="256"/>
      <c r="R9" s="256"/>
      <c r="S9" s="256"/>
      <c r="T9" s="256"/>
      <c r="U9" s="256"/>
      <c r="V9" s="256"/>
      <c r="W9" s="247"/>
    </row>
    <row r="10" spans="1:23" ht="23.45" customHeight="1" x14ac:dyDescent="0.2">
      <c r="A10" s="264"/>
      <c r="B10" s="266"/>
      <c r="C10" s="264"/>
      <c r="D10" s="269"/>
      <c r="E10" s="242" t="s">
        <v>12</v>
      </c>
      <c r="F10" s="244" t="s">
        <v>13</v>
      </c>
      <c r="G10" s="240" t="s">
        <v>8</v>
      </c>
      <c r="H10" s="241"/>
      <c r="I10" s="289" t="s">
        <v>532</v>
      </c>
      <c r="J10" s="290"/>
      <c r="K10" s="242" t="s">
        <v>12</v>
      </c>
      <c r="L10" s="3"/>
      <c r="W10" s="244" t="s">
        <v>13</v>
      </c>
    </row>
    <row r="11" spans="1:23" ht="21.6" customHeight="1" x14ac:dyDescent="0.2">
      <c r="A11" s="243"/>
      <c r="B11" s="267"/>
      <c r="C11" s="243"/>
      <c r="D11" s="270"/>
      <c r="E11" s="243"/>
      <c r="F11" s="245"/>
      <c r="G11" s="8" t="s">
        <v>12</v>
      </c>
      <c r="H11" s="9" t="s">
        <v>13</v>
      </c>
      <c r="I11" s="8" t="s">
        <v>12</v>
      </c>
      <c r="J11" s="9" t="s">
        <v>13</v>
      </c>
      <c r="K11" s="243"/>
      <c r="L11" s="3"/>
      <c r="W11" s="245"/>
    </row>
    <row r="12" spans="1:23" x14ac:dyDescent="0.2">
      <c r="A12" s="9">
        <v>1</v>
      </c>
      <c r="B12" s="11" t="s">
        <v>15</v>
      </c>
      <c r="C12" s="8">
        <v>3</v>
      </c>
      <c r="D12" s="12">
        <v>4</v>
      </c>
      <c r="E12" s="8">
        <v>5</v>
      </c>
      <c r="F12" s="8">
        <v>6</v>
      </c>
      <c r="G12" s="133">
        <v>7</v>
      </c>
      <c r="H12" s="134">
        <v>8</v>
      </c>
      <c r="I12" s="133">
        <v>9</v>
      </c>
      <c r="J12" s="134">
        <v>10</v>
      </c>
      <c r="K12" s="8">
        <v>11</v>
      </c>
      <c r="L12" s="3"/>
      <c r="W12" s="9">
        <v>12</v>
      </c>
    </row>
    <row r="13" spans="1:23" ht="20.100000000000001" customHeight="1" x14ac:dyDescent="0.2">
      <c r="A13" s="13">
        <v>1</v>
      </c>
      <c r="B13" s="11" t="s">
        <v>16</v>
      </c>
      <c r="C13" s="14" t="s">
        <v>17</v>
      </c>
      <c r="D13" s="12"/>
      <c r="E13" s="15">
        <f t="shared" ref="E13:F28" si="0">+G13+K13</f>
        <v>846.5</v>
      </c>
      <c r="F13" s="15">
        <f>+H13+W13</f>
        <v>591.80000000000007</v>
      </c>
      <c r="G13" s="15">
        <f>+G14+G15</f>
        <v>208.3</v>
      </c>
      <c r="H13" s="15">
        <f>+H14+H15</f>
        <v>199.4</v>
      </c>
      <c r="I13" s="15">
        <f>+I14+I15</f>
        <v>2.9</v>
      </c>
      <c r="J13" s="15">
        <f>+J14+J15</f>
        <v>2</v>
      </c>
      <c r="K13" s="15">
        <f>+K14+K15</f>
        <v>638.20000000000005</v>
      </c>
      <c r="L13" s="15" t="e">
        <f t="shared" ref="L13:W13" si="1">+L14+L15</f>
        <v>#VALUE!</v>
      </c>
      <c r="M13" s="15">
        <f t="shared" si="1"/>
        <v>0</v>
      </c>
      <c r="N13" s="15">
        <f t="shared" si="1"/>
        <v>0</v>
      </c>
      <c r="O13" s="15">
        <f t="shared" si="1"/>
        <v>-117</v>
      </c>
      <c r="P13" s="15">
        <f t="shared" si="1"/>
        <v>6</v>
      </c>
      <c r="Q13" s="15">
        <f t="shared" si="1"/>
        <v>0</v>
      </c>
      <c r="R13" s="15">
        <f t="shared" si="1"/>
        <v>-123</v>
      </c>
      <c r="S13" s="15">
        <f t="shared" si="1"/>
        <v>0</v>
      </c>
      <c r="T13" s="15">
        <f t="shared" si="1"/>
        <v>0</v>
      </c>
      <c r="U13" s="15">
        <f t="shared" si="1"/>
        <v>0</v>
      </c>
      <c r="V13" s="15">
        <f t="shared" si="1"/>
        <v>0</v>
      </c>
      <c r="W13" s="15">
        <f t="shared" si="1"/>
        <v>392.40000000000003</v>
      </c>
    </row>
    <row r="14" spans="1:23" ht="13.5" customHeight="1" x14ac:dyDescent="0.2">
      <c r="A14" s="25">
        <v>2</v>
      </c>
      <c r="B14" s="135"/>
      <c r="C14" s="49" t="s">
        <v>55</v>
      </c>
      <c r="D14" s="26" t="s">
        <v>50</v>
      </c>
      <c r="E14" s="136">
        <f t="shared" si="0"/>
        <v>191.5</v>
      </c>
      <c r="F14" s="136">
        <f>+H14+W14</f>
        <v>186.4</v>
      </c>
      <c r="G14" s="136">
        <v>191.5</v>
      </c>
      <c r="H14" s="136">
        <v>186.4</v>
      </c>
      <c r="I14" s="136"/>
      <c r="J14" s="136"/>
      <c r="K14" s="136"/>
      <c r="L14" s="22" t="s">
        <v>533</v>
      </c>
      <c r="O14" s="22">
        <f t="shared" ref="O14:O72" si="2">+P14+R14</f>
        <v>0</v>
      </c>
      <c r="P14" s="22"/>
      <c r="Q14" s="22"/>
      <c r="R14" s="22"/>
      <c r="S14" s="22">
        <f t="shared" ref="S14:S72" si="3">+T14+V14</f>
        <v>0</v>
      </c>
      <c r="T14" s="22"/>
      <c r="U14" s="22"/>
      <c r="V14" s="137"/>
      <c r="W14" s="76"/>
    </row>
    <row r="15" spans="1:23" ht="18.75" customHeight="1" x14ac:dyDescent="0.2">
      <c r="A15" s="13">
        <v>3</v>
      </c>
      <c r="B15" s="16"/>
      <c r="C15" s="138" t="s">
        <v>534</v>
      </c>
      <c r="D15" s="16"/>
      <c r="E15" s="136">
        <f t="shared" si="0"/>
        <v>655</v>
      </c>
      <c r="F15" s="136">
        <f>+H15+W15</f>
        <v>405.40000000000003</v>
      </c>
      <c r="G15" s="136">
        <f>+G16+G17+G18+G19</f>
        <v>16.8</v>
      </c>
      <c r="H15" s="136">
        <f>+H16+H17+H18+H19</f>
        <v>13</v>
      </c>
      <c r="I15" s="139">
        <f>+I16+I17+I18+I19</f>
        <v>2.9</v>
      </c>
      <c r="J15" s="139">
        <f>+J16+J17+J18+J19</f>
        <v>2</v>
      </c>
      <c r="K15" s="136">
        <f>+K16+K17+K18+K19</f>
        <v>638.20000000000005</v>
      </c>
      <c r="L15" s="136">
        <f t="shared" ref="L15:W15" si="4">+L16+L17+L18+L19</f>
        <v>0</v>
      </c>
      <c r="M15" s="136">
        <f t="shared" si="4"/>
        <v>0</v>
      </c>
      <c r="N15" s="136">
        <f t="shared" si="4"/>
        <v>0</v>
      </c>
      <c r="O15" s="136">
        <f t="shared" si="4"/>
        <v>-117</v>
      </c>
      <c r="P15" s="136">
        <f t="shared" si="4"/>
        <v>6</v>
      </c>
      <c r="Q15" s="136">
        <f t="shared" si="4"/>
        <v>0</v>
      </c>
      <c r="R15" s="136">
        <f t="shared" si="4"/>
        <v>-123</v>
      </c>
      <c r="S15" s="136">
        <f t="shared" si="4"/>
        <v>0</v>
      </c>
      <c r="T15" s="136">
        <f t="shared" si="4"/>
        <v>0</v>
      </c>
      <c r="U15" s="136">
        <f t="shared" si="4"/>
        <v>0</v>
      </c>
      <c r="V15" s="136">
        <f t="shared" si="4"/>
        <v>0</v>
      </c>
      <c r="W15" s="136">
        <f t="shared" si="4"/>
        <v>392.40000000000003</v>
      </c>
    </row>
    <row r="16" spans="1:23" ht="19.149999999999999" customHeight="1" x14ac:dyDescent="0.2">
      <c r="A16" s="71" t="s">
        <v>535</v>
      </c>
      <c r="B16" s="140"/>
      <c r="C16" s="40" t="s">
        <v>61</v>
      </c>
      <c r="D16" s="64" t="s">
        <v>50</v>
      </c>
      <c r="E16" s="136">
        <f t="shared" si="0"/>
        <v>3</v>
      </c>
      <c r="F16" s="136">
        <f>+H16+W16</f>
        <v>2.1</v>
      </c>
      <c r="G16" s="136">
        <f>2.6+0.4</f>
        <v>3</v>
      </c>
      <c r="H16" s="139">
        <f>2+0.1</f>
        <v>2.1</v>
      </c>
      <c r="I16" s="139">
        <v>2.9</v>
      </c>
      <c r="J16" s="141">
        <v>2</v>
      </c>
      <c r="K16" s="136"/>
      <c r="L16" s="22"/>
      <c r="O16" s="22">
        <f t="shared" si="2"/>
        <v>0</v>
      </c>
      <c r="P16" s="22"/>
      <c r="Q16" s="22"/>
      <c r="R16" s="22"/>
      <c r="S16" s="22">
        <f t="shared" si="3"/>
        <v>0</v>
      </c>
      <c r="T16" s="22"/>
      <c r="U16" s="22"/>
      <c r="V16" s="137"/>
      <c r="W16" s="76"/>
    </row>
    <row r="17" spans="1:23" ht="25.5" x14ac:dyDescent="0.2">
      <c r="A17" s="71" t="s">
        <v>536</v>
      </c>
      <c r="B17" s="140"/>
      <c r="C17" s="49" t="s">
        <v>78</v>
      </c>
      <c r="D17" s="64" t="s">
        <v>21</v>
      </c>
      <c r="E17" s="142">
        <f t="shared" si="0"/>
        <v>165</v>
      </c>
      <c r="F17" s="142">
        <v>44.5</v>
      </c>
      <c r="G17" s="142">
        <v>1.2</v>
      </c>
      <c r="H17" s="142">
        <v>1.1000000000000001</v>
      </c>
      <c r="I17" s="143"/>
      <c r="J17" s="143"/>
      <c r="K17" s="142">
        <f>139.8+24</f>
        <v>163.80000000000001</v>
      </c>
      <c r="L17" s="22"/>
      <c r="O17" s="22">
        <f t="shared" si="2"/>
        <v>24</v>
      </c>
      <c r="P17" s="22"/>
      <c r="Q17" s="22"/>
      <c r="R17" s="22">
        <v>24</v>
      </c>
      <c r="S17" s="22">
        <f t="shared" si="3"/>
        <v>0</v>
      </c>
      <c r="T17" s="22"/>
      <c r="U17" s="22"/>
      <c r="V17" s="137"/>
      <c r="W17" s="13">
        <v>43.4</v>
      </c>
    </row>
    <row r="18" spans="1:23" ht="25.5" x14ac:dyDescent="0.2">
      <c r="A18" s="71" t="s">
        <v>537</v>
      </c>
      <c r="B18" s="140"/>
      <c r="C18" s="40" t="s">
        <v>80</v>
      </c>
      <c r="D18" s="64" t="s">
        <v>21</v>
      </c>
      <c r="E18" s="142">
        <f t="shared" si="0"/>
        <v>172</v>
      </c>
      <c r="F18" s="142">
        <v>82.5</v>
      </c>
      <c r="G18" s="142">
        <v>1.2</v>
      </c>
      <c r="H18" s="142">
        <v>1.1000000000000001</v>
      </c>
      <c r="I18" s="143"/>
      <c r="J18" s="143"/>
      <c r="K18" s="142">
        <f>139.8+31</f>
        <v>170.8</v>
      </c>
      <c r="L18" s="22"/>
      <c r="O18" s="22">
        <f t="shared" si="2"/>
        <v>31</v>
      </c>
      <c r="P18" s="22"/>
      <c r="Q18" s="22"/>
      <c r="R18" s="22">
        <v>31</v>
      </c>
      <c r="S18" s="22">
        <f t="shared" si="3"/>
        <v>0</v>
      </c>
      <c r="T18" s="22"/>
      <c r="U18" s="22"/>
      <c r="V18" s="137"/>
      <c r="W18" s="13">
        <v>81.400000000000006</v>
      </c>
    </row>
    <row r="19" spans="1:23" ht="30.6" customHeight="1" x14ac:dyDescent="0.2">
      <c r="A19" s="71" t="s">
        <v>538</v>
      </c>
      <c r="B19" s="16"/>
      <c r="C19" s="49" t="s">
        <v>74</v>
      </c>
      <c r="D19" s="16" t="s">
        <v>38</v>
      </c>
      <c r="E19" s="136">
        <f t="shared" si="0"/>
        <v>315</v>
      </c>
      <c r="F19" s="136">
        <v>276.3</v>
      </c>
      <c r="G19" s="136">
        <f>5.4+6</f>
        <v>11.4</v>
      </c>
      <c r="H19" s="136">
        <v>8.6999999999999993</v>
      </c>
      <c r="I19" s="136"/>
      <c r="J19" s="136"/>
      <c r="K19" s="136">
        <f>481.6-172-6</f>
        <v>303.60000000000002</v>
      </c>
      <c r="L19" s="22"/>
      <c r="O19" s="22">
        <f t="shared" si="2"/>
        <v>-172</v>
      </c>
      <c r="P19" s="22">
        <v>6</v>
      </c>
      <c r="Q19" s="22"/>
      <c r="R19" s="22">
        <f>-172-6</f>
        <v>-178</v>
      </c>
      <c r="S19" s="22">
        <f t="shared" si="3"/>
        <v>0</v>
      </c>
      <c r="T19" s="22"/>
      <c r="U19" s="22"/>
      <c r="V19" s="137"/>
      <c r="W19" s="13">
        <v>267.60000000000002</v>
      </c>
    </row>
    <row r="20" spans="1:23" x14ac:dyDescent="0.2">
      <c r="A20" s="71" t="s">
        <v>539</v>
      </c>
      <c r="B20" s="11" t="s">
        <v>94</v>
      </c>
      <c r="C20" s="51" t="s">
        <v>95</v>
      </c>
      <c r="D20" s="16"/>
      <c r="E20" s="144">
        <f t="shared" si="0"/>
        <v>77</v>
      </c>
      <c r="F20" s="144">
        <f>+H20+W20</f>
        <v>43</v>
      </c>
      <c r="G20" s="144">
        <f>+G21+G23</f>
        <v>43.1</v>
      </c>
      <c r="H20" s="144">
        <f>+H21+H23</f>
        <v>43</v>
      </c>
      <c r="I20" s="144">
        <f>+I21+I23</f>
        <v>4.2</v>
      </c>
      <c r="J20" s="144">
        <f>+J21+J23</f>
        <v>4.2</v>
      </c>
      <c r="K20" s="144">
        <f>+K21+K23</f>
        <v>33.9</v>
      </c>
      <c r="L20" s="144">
        <f t="shared" ref="L20:W20" si="5">+L21+L23</f>
        <v>0</v>
      </c>
      <c r="M20" s="144">
        <f t="shared" si="5"/>
        <v>0</v>
      </c>
      <c r="N20" s="144">
        <f t="shared" si="5"/>
        <v>0</v>
      </c>
      <c r="O20" s="144">
        <f t="shared" si="5"/>
        <v>4.3</v>
      </c>
      <c r="P20" s="144">
        <f t="shared" si="5"/>
        <v>4.3</v>
      </c>
      <c r="Q20" s="144">
        <f t="shared" si="5"/>
        <v>4.2</v>
      </c>
      <c r="R20" s="144">
        <f t="shared" si="5"/>
        <v>0</v>
      </c>
      <c r="S20" s="144">
        <f t="shared" si="5"/>
        <v>0</v>
      </c>
      <c r="T20" s="144">
        <f t="shared" si="5"/>
        <v>0</v>
      </c>
      <c r="U20" s="144">
        <f t="shared" si="5"/>
        <v>0</v>
      </c>
      <c r="V20" s="144">
        <f t="shared" si="5"/>
        <v>0</v>
      </c>
      <c r="W20" s="144">
        <f t="shared" si="5"/>
        <v>0</v>
      </c>
    </row>
    <row r="21" spans="1:23" ht="14.45" customHeight="1" x14ac:dyDescent="0.2">
      <c r="A21" s="71" t="s">
        <v>540</v>
      </c>
      <c r="B21" s="11"/>
      <c r="C21" s="138" t="s">
        <v>534</v>
      </c>
      <c r="D21" s="16"/>
      <c r="E21" s="136">
        <f t="shared" si="0"/>
        <v>34</v>
      </c>
      <c r="F21" s="136">
        <f>+H21+W21</f>
        <v>0</v>
      </c>
      <c r="G21" s="136">
        <f>+G22</f>
        <v>0.1</v>
      </c>
      <c r="H21" s="136">
        <f>+H22</f>
        <v>0</v>
      </c>
      <c r="I21" s="136">
        <f>+I22</f>
        <v>0</v>
      </c>
      <c r="J21" s="136">
        <f>+J22</f>
        <v>0</v>
      </c>
      <c r="K21" s="136">
        <f>+K22</f>
        <v>33.9</v>
      </c>
      <c r="L21" s="136">
        <f t="shared" ref="L21:W21" si="6">+L22</f>
        <v>0</v>
      </c>
      <c r="M21" s="136">
        <f t="shared" si="6"/>
        <v>0</v>
      </c>
      <c r="N21" s="136">
        <f t="shared" si="6"/>
        <v>0</v>
      </c>
      <c r="O21" s="136">
        <f t="shared" si="6"/>
        <v>0</v>
      </c>
      <c r="P21" s="136">
        <f t="shared" si="6"/>
        <v>0</v>
      </c>
      <c r="Q21" s="136">
        <f t="shared" si="6"/>
        <v>0</v>
      </c>
      <c r="R21" s="136">
        <f t="shared" si="6"/>
        <v>0</v>
      </c>
      <c r="S21" s="136">
        <f t="shared" si="6"/>
        <v>0</v>
      </c>
      <c r="T21" s="136">
        <f t="shared" si="6"/>
        <v>0</v>
      </c>
      <c r="U21" s="136">
        <f t="shared" si="6"/>
        <v>0</v>
      </c>
      <c r="V21" s="136">
        <f t="shared" si="6"/>
        <v>0</v>
      </c>
      <c r="W21" s="136">
        <f t="shared" si="6"/>
        <v>0</v>
      </c>
    </row>
    <row r="22" spans="1:23" ht="45" customHeight="1" x14ac:dyDescent="0.2">
      <c r="A22" s="71" t="s">
        <v>541</v>
      </c>
      <c r="B22" s="11"/>
      <c r="C22" s="145" t="s">
        <v>140</v>
      </c>
      <c r="D22" s="16" t="s">
        <v>130</v>
      </c>
      <c r="E22" s="136">
        <f t="shared" si="0"/>
        <v>34</v>
      </c>
      <c r="F22" s="136">
        <f>+H22+W22</f>
        <v>0</v>
      </c>
      <c r="G22" s="136">
        <v>0.1</v>
      </c>
      <c r="H22" s="136">
        <v>0</v>
      </c>
      <c r="I22" s="136"/>
      <c r="J22" s="136"/>
      <c r="K22" s="136">
        <f>23.9+10</f>
        <v>33.9</v>
      </c>
      <c r="L22" s="22"/>
      <c r="O22" s="22">
        <f t="shared" si="2"/>
        <v>0</v>
      </c>
      <c r="P22" s="22"/>
      <c r="Q22" s="22"/>
      <c r="R22" s="22"/>
      <c r="S22" s="22">
        <f t="shared" si="3"/>
        <v>0</v>
      </c>
      <c r="T22" s="22"/>
      <c r="U22" s="22"/>
      <c r="V22" s="137"/>
      <c r="W22" s="146">
        <v>0</v>
      </c>
    </row>
    <row r="23" spans="1:23" ht="25.5" x14ac:dyDescent="0.2">
      <c r="A23" s="291" t="s">
        <v>542</v>
      </c>
      <c r="B23" s="272"/>
      <c r="C23" s="27" t="s">
        <v>96</v>
      </c>
      <c r="D23" s="262" t="s">
        <v>99</v>
      </c>
      <c r="E23" s="136">
        <f t="shared" si="0"/>
        <v>43</v>
      </c>
      <c r="F23" s="136">
        <f>+H23+W23</f>
        <v>43</v>
      </c>
      <c r="G23" s="136">
        <v>43</v>
      </c>
      <c r="H23" s="136">
        <v>43</v>
      </c>
      <c r="I23" s="139">
        <v>4.2</v>
      </c>
      <c r="J23" s="139">
        <v>4.2</v>
      </c>
      <c r="K23" s="136"/>
      <c r="L23" s="22"/>
      <c r="O23" s="22">
        <f t="shared" si="2"/>
        <v>4.3</v>
      </c>
      <c r="P23" s="22">
        <v>4.3</v>
      </c>
      <c r="Q23" s="22">
        <v>4.2</v>
      </c>
      <c r="R23" s="22"/>
      <c r="S23" s="22">
        <f t="shared" si="3"/>
        <v>0</v>
      </c>
      <c r="T23" s="22"/>
      <c r="U23" s="22"/>
      <c r="V23" s="137"/>
      <c r="W23" s="76"/>
    </row>
    <row r="24" spans="1:23" ht="25.5" x14ac:dyDescent="0.2">
      <c r="A24" s="292"/>
      <c r="B24" s="274"/>
      <c r="C24" s="54" t="s">
        <v>98</v>
      </c>
      <c r="D24" s="263"/>
      <c r="E24" s="136">
        <f>+G24+W24</f>
        <v>43</v>
      </c>
      <c r="F24" s="136">
        <f t="shared" si="0"/>
        <v>43</v>
      </c>
      <c r="G24" s="136">
        <v>43</v>
      </c>
      <c r="H24" s="136">
        <v>43</v>
      </c>
      <c r="I24" s="139">
        <v>4.2</v>
      </c>
      <c r="J24" s="139">
        <v>4.2</v>
      </c>
      <c r="K24" s="136"/>
      <c r="L24" s="22"/>
      <c r="O24" s="22">
        <f t="shared" si="2"/>
        <v>0</v>
      </c>
      <c r="P24" s="22"/>
      <c r="Q24" s="22"/>
      <c r="R24" s="22"/>
      <c r="S24" s="22">
        <f t="shared" si="3"/>
        <v>0</v>
      </c>
      <c r="T24" s="22"/>
      <c r="U24" s="22"/>
      <c r="V24" s="137"/>
      <c r="W24" s="76"/>
    </row>
    <row r="25" spans="1:23" ht="15.75" customHeight="1" x14ac:dyDescent="0.2">
      <c r="A25" s="13">
        <v>7</v>
      </c>
      <c r="B25" s="11" t="s">
        <v>141</v>
      </c>
      <c r="C25" s="51" t="s">
        <v>142</v>
      </c>
      <c r="D25" s="16"/>
      <c r="E25" s="144">
        <f t="shared" si="0"/>
        <v>647.10000000000014</v>
      </c>
      <c r="F25" s="144">
        <f>+H25+W25</f>
        <v>584.29999999999995</v>
      </c>
      <c r="G25" s="144">
        <f>+G26+G32</f>
        <v>202.3</v>
      </c>
      <c r="H25" s="144">
        <f>+H26+H32</f>
        <v>175.60000000000002</v>
      </c>
      <c r="I25" s="144">
        <f>+I26+I32</f>
        <v>87</v>
      </c>
      <c r="J25" s="144">
        <f>+J26+J32</f>
        <v>87</v>
      </c>
      <c r="K25" s="144">
        <f>+K26+K32</f>
        <v>444.80000000000007</v>
      </c>
      <c r="L25" s="144">
        <f t="shared" ref="L25:W25" si="7">+L26+L32</f>
        <v>0</v>
      </c>
      <c r="M25" s="144">
        <f t="shared" si="7"/>
        <v>0</v>
      </c>
      <c r="N25" s="144">
        <f t="shared" si="7"/>
        <v>0</v>
      </c>
      <c r="O25" s="144">
        <f t="shared" si="7"/>
        <v>97.5</v>
      </c>
      <c r="P25" s="144">
        <f t="shared" si="7"/>
        <v>96.5</v>
      </c>
      <c r="Q25" s="144">
        <f t="shared" si="7"/>
        <v>87</v>
      </c>
      <c r="R25" s="144">
        <f t="shared" si="7"/>
        <v>1</v>
      </c>
      <c r="S25" s="144">
        <f t="shared" si="7"/>
        <v>0</v>
      </c>
      <c r="T25" s="144">
        <f t="shared" si="7"/>
        <v>0</v>
      </c>
      <c r="U25" s="144">
        <f t="shared" si="7"/>
        <v>0</v>
      </c>
      <c r="V25" s="144">
        <f t="shared" si="7"/>
        <v>0</v>
      </c>
      <c r="W25" s="144">
        <f t="shared" si="7"/>
        <v>408.7</v>
      </c>
    </row>
    <row r="26" spans="1:23" ht="15" customHeight="1" x14ac:dyDescent="0.2">
      <c r="A26" s="13">
        <v>8</v>
      </c>
      <c r="B26" s="11"/>
      <c r="C26" s="138" t="s">
        <v>534</v>
      </c>
      <c r="D26" s="16"/>
      <c r="E26" s="136">
        <f t="shared" si="0"/>
        <v>550.1</v>
      </c>
      <c r="F26" s="136">
        <f>+H26+W26</f>
        <v>487.3</v>
      </c>
      <c r="G26" s="136">
        <f>+G27+G28+G29+G30+G31</f>
        <v>105.3</v>
      </c>
      <c r="H26" s="136">
        <f>+H27+H28+H29+H30+H31</f>
        <v>78.600000000000009</v>
      </c>
      <c r="I26" s="136">
        <f>+I27+I28+I29+I30+I31</f>
        <v>0</v>
      </c>
      <c r="J26" s="136">
        <f>+J27+J28+J29+J30+J31</f>
        <v>0</v>
      </c>
      <c r="K26" s="136">
        <f>+K27+K28+K29+K30+K31</f>
        <v>444.80000000000007</v>
      </c>
      <c r="L26" s="136">
        <f t="shared" ref="L26:W26" si="8">+L27+L28+L29+L30+L31</f>
        <v>0</v>
      </c>
      <c r="M26" s="136">
        <f t="shared" si="8"/>
        <v>0</v>
      </c>
      <c r="N26" s="136">
        <f t="shared" si="8"/>
        <v>0</v>
      </c>
      <c r="O26" s="136">
        <f t="shared" si="8"/>
        <v>0.5</v>
      </c>
      <c r="P26" s="136">
        <f t="shared" si="8"/>
        <v>-0.5</v>
      </c>
      <c r="Q26" s="136">
        <f t="shared" si="8"/>
        <v>0</v>
      </c>
      <c r="R26" s="136">
        <f t="shared" si="8"/>
        <v>1</v>
      </c>
      <c r="S26" s="136">
        <f t="shared" si="8"/>
        <v>0</v>
      </c>
      <c r="T26" s="136">
        <f t="shared" si="8"/>
        <v>0</v>
      </c>
      <c r="U26" s="136">
        <f t="shared" si="8"/>
        <v>0</v>
      </c>
      <c r="V26" s="136">
        <f t="shared" si="8"/>
        <v>0</v>
      </c>
      <c r="W26" s="136">
        <f t="shared" si="8"/>
        <v>408.7</v>
      </c>
    </row>
    <row r="27" spans="1:23" ht="16.5" customHeight="1" x14ac:dyDescent="0.2">
      <c r="A27" s="71" t="s">
        <v>543</v>
      </c>
      <c r="B27" s="16"/>
      <c r="C27" s="147" t="s">
        <v>183</v>
      </c>
      <c r="D27" s="16" t="s">
        <v>184</v>
      </c>
      <c r="E27" s="136">
        <f t="shared" si="0"/>
        <v>115.5</v>
      </c>
      <c r="F27" s="136">
        <v>112.9</v>
      </c>
      <c r="G27" s="136">
        <f>6.5+5.1-1</f>
        <v>10.6</v>
      </c>
      <c r="H27" s="136">
        <v>9.6</v>
      </c>
      <c r="I27" s="136"/>
      <c r="J27" s="136"/>
      <c r="K27" s="136">
        <f>109-5.1+1</f>
        <v>104.9</v>
      </c>
      <c r="L27" s="22"/>
      <c r="O27" s="22">
        <f t="shared" si="2"/>
        <v>0</v>
      </c>
      <c r="P27" s="22">
        <v>-1</v>
      </c>
      <c r="Q27" s="22"/>
      <c r="R27" s="22">
        <v>1</v>
      </c>
      <c r="S27" s="22">
        <f t="shared" si="3"/>
        <v>0</v>
      </c>
      <c r="T27" s="22"/>
      <c r="U27" s="22"/>
      <c r="V27" s="137"/>
      <c r="W27" s="13">
        <v>103.3</v>
      </c>
    </row>
    <row r="28" spans="1:23" ht="27.75" customHeight="1" x14ac:dyDescent="0.2">
      <c r="A28" s="71" t="s">
        <v>544</v>
      </c>
      <c r="B28" s="16"/>
      <c r="C28" s="49" t="s">
        <v>186</v>
      </c>
      <c r="D28" s="16" t="s">
        <v>149</v>
      </c>
      <c r="E28" s="136">
        <f t="shared" si="0"/>
        <v>330</v>
      </c>
      <c r="F28" s="136">
        <f>+H28+W28</f>
        <v>292.7</v>
      </c>
      <c r="G28" s="136">
        <v>4.2</v>
      </c>
      <c r="H28" s="139">
        <v>1.3</v>
      </c>
      <c r="I28" s="136"/>
      <c r="J28" s="136"/>
      <c r="K28" s="136">
        <v>325.8</v>
      </c>
      <c r="L28" s="22"/>
      <c r="O28" s="22">
        <f t="shared" si="2"/>
        <v>0</v>
      </c>
      <c r="P28" s="22"/>
      <c r="Q28" s="22"/>
      <c r="R28" s="22"/>
      <c r="S28" s="22">
        <f t="shared" si="3"/>
        <v>0</v>
      </c>
      <c r="T28" s="22"/>
      <c r="U28" s="22"/>
      <c r="V28" s="137"/>
      <c r="W28" s="28">
        <v>291.39999999999998</v>
      </c>
    </row>
    <row r="29" spans="1:23" x14ac:dyDescent="0.2">
      <c r="A29" s="71" t="s">
        <v>545</v>
      </c>
      <c r="B29" s="16"/>
      <c r="C29" s="49" t="s">
        <v>546</v>
      </c>
      <c r="D29" s="16" t="s">
        <v>547</v>
      </c>
      <c r="E29" s="136">
        <f t="shared" ref="E29:E73" si="9">+G29+K29</f>
        <v>90</v>
      </c>
      <c r="F29" s="136">
        <f>+H29+W29</f>
        <v>67.400000000000006</v>
      </c>
      <c r="G29" s="136">
        <v>90</v>
      </c>
      <c r="H29" s="136">
        <v>67.400000000000006</v>
      </c>
      <c r="I29" s="136"/>
      <c r="J29" s="136"/>
      <c r="K29" s="136"/>
      <c r="L29" s="22"/>
      <c r="O29" s="22">
        <f t="shared" si="2"/>
        <v>0</v>
      </c>
      <c r="P29" s="22"/>
      <c r="Q29" s="22"/>
      <c r="R29" s="22"/>
      <c r="S29" s="22">
        <f t="shared" si="3"/>
        <v>0</v>
      </c>
      <c r="T29" s="22"/>
      <c r="U29" s="22"/>
      <c r="V29" s="137"/>
      <c r="W29" s="13"/>
    </row>
    <row r="30" spans="1:23" ht="38.25" x14ac:dyDescent="0.2">
      <c r="A30" s="71" t="s">
        <v>548</v>
      </c>
      <c r="B30" s="16"/>
      <c r="C30" s="49" t="s">
        <v>549</v>
      </c>
      <c r="D30" s="16" t="s">
        <v>547</v>
      </c>
      <c r="E30" s="136">
        <f t="shared" si="9"/>
        <v>14.1</v>
      </c>
      <c r="F30" s="136">
        <f>+H30+W30</f>
        <v>14</v>
      </c>
      <c r="G30" s="136"/>
      <c r="H30" s="136"/>
      <c r="I30" s="136"/>
      <c r="J30" s="136"/>
      <c r="K30" s="136">
        <v>14.1</v>
      </c>
      <c r="L30" s="22"/>
      <c r="O30" s="22">
        <f t="shared" si="2"/>
        <v>0</v>
      </c>
      <c r="P30" s="22"/>
      <c r="Q30" s="22"/>
      <c r="R30" s="22"/>
      <c r="S30" s="22">
        <f t="shared" si="3"/>
        <v>0</v>
      </c>
      <c r="T30" s="22"/>
      <c r="U30" s="22"/>
      <c r="V30" s="137"/>
      <c r="W30" s="146">
        <v>14</v>
      </c>
    </row>
    <row r="31" spans="1:23" ht="25.5" x14ac:dyDescent="0.2">
      <c r="A31" s="71" t="s">
        <v>550</v>
      </c>
      <c r="B31" s="16"/>
      <c r="C31" s="49" t="s">
        <v>551</v>
      </c>
      <c r="D31" s="16" t="s">
        <v>151</v>
      </c>
      <c r="E31" s="136">
        <f t="shared" si="9"/>
        <v>0.5</v>
      </c>
      <c r="F31" s="136">
        <f>+H31+W31</f>
        <v>0.3</v>
      </c>
      <c r="G31" s="136">
        <v>0.5</v>
      </c>
      <c r="H31" s="136">
        <v>0.3</v>
      </c>
      <c r="I31" s="136"/>
      <c r="J31" s="136"/>
      <c r="K31" s="136"/>
      <c r="L31" s="22"/>
      <c r="O31" s="22">
        <f t="shared" si="2"/>
        <v>0.5</v>
      </c>
      <c r="P31" s="22">
        <v>0.5</v>
      </c>
      <c r="Q31" s="22"/>
      <c r="R31" s="22"/>
      <c r="S31" s="22">
        <f t="shared" si="3"/>
        <v>0</v>
      </c>
      <c r="T31" s="22"/>
      <c r="U31" s="22"/>
      <c r="V31" s="137"/>
      <c r="W31" s="76"/>
    </row>
    <row r="32" spans="1:23" x14ac:dyDescent="0.2">
      <c r="A32" s="291" t="s">
        <v>552</v>
      </c>
      <c r="B32" s="262"/>
      <c r="C32" s="17" t="s">
        <v>143</v>
      </c>
      <c r="D32" s="262" t="s">
        <v>175</v>
      </c>
      <c r="E32" s="136">
        <f t="shared" si="9"/>
        <v>97</v>
      </c>
      <c r="F32" s="136">
        <f>+H32+W32</f>
        <v>97</v>
      </c>
      <c r="G32" s="136">
        <v>97</v>
      </c>
      <c r="H32" s="136">
        <v>97</v>
      </c>
      <c r="I32" s="139">
        <v>87</v>
      </c>
      <c r="J32" s="139">
        <v>87</v>
      </c>
      <c r="K32" s="136"/>
      <c r="L32" s="22"/>
      <c r="O32" s="22">
        <f t="shared" si="2"/>
        <v>97</v>
      </c>
      <c r="P32" s="22">
        <v>97</v>
      </c>
      <c r="Q32" s="22">
        <v>87</v>
      </c>
      <c r="R32" s="22"/>
      <c r="S32" s="22">
        <f t="shared" si="3"/>
        <v>0</v>
      </c>
      <c r="T32" s="22"/>
      <c r="U32" s="22"/>
      <c r="V32" s="137"/>
      <c r="W32" s="76"/>
    </row>
    <row r="33" spans="1:23" ht="19.149999999999999" customHeight="1" x14ac:dyDescent="0.2">
      <c r="A33" s="292"/>
      <c r="B33" s="263"/>
      <c r="C33" s="60" t="s">
        <v>146</v>
      </c>
      <c r="D33" s="263"/>
      <c r="E33" s="136">
        <f t="shared" si="9"/>
        <v>97</v>
      </c>
      <c r="F33" s="136">
        <f>+H33+L33</f>
        <v>97</v>
      </c>
      <c r="G33" s="136">
        <v>97</v>
      </c>
      <c r="H33" s="136">
        <v>97</v>
      </c>
      <c r="I33" s="139">
        <v>87</v>
      </c>
      <c r="J33" s="139">
        <v>87</v>
      </c>
      <c r="K33" s="136"/>
      <c r="L33" s="22"/>
      <c r="O33" s="22">
        <f t="shared" si="2"/>
        <v>0</v>
      </c>
      <c r="P33" s="22"/>
      <c r="Q33" s="22"/>
      <c r="R33" s="22"/>
      <c r="S33" s="22">
        <f t="shared" si="3"/>
        <v>0</v>
      </c>
      <c r="T33" s="22"/>
      <c r="U33" s="22"/>
      <c r="V33" s="137"/>
      <c r="W33" s="76"/>
    </row>
    <row r="34" spans="1:23" x14ac:dyDescent="0.2">
      <c r="A34" s="71" t="s">
        <v>454</v>
      </c>
      <c r="B34" s="11" t="s">
        <v>203</v>
      </c>
      <c r="C34" s="51" t="s">
        <v>204</v>
      </c>
      <c r="D34" s="16"/>
      <c r="E34" s="144">
        <f t="shared" si="9"/>
        <v>130.5</v>
      </c>
      <c r="F34" s="144">
        <f>+H34+W34</f>
        <v>129.1</v>
      </c>
      <c r="G34" s="144">
        <f>+G35</f>
        <v>0</v>
      </c>
      <c r="H34" s="144">
        <f>+H35</f>
        <v>0</v>
      </c>
      <c r="I34" s="144">
        <f>+I35</f>
        <v>0</v>
      </c>
      <c r="J34" s="144">
        <f>+J35</f>
        <v>0</v>
      </c>
      <c r="K34" s="144">
        <f>+K35</f>
        <v>130.5</v>
      </c>
      <c r="L34" s="144">
        <f t="shared" ref="L34:W34" si="10">+L35</f>
        <v>0</v>
      </c>
      <c r="M34" s="144">
        <f t="shared" si="10"/>
        <v>0</v>
      </c>
      <c r="N34" s="144">
        <f t="shared" si="10"/>
        <v>0</v>
      </c>
      <c r="O34" s="144">
        <f t="shared" si="10"/>
        <v>-41</v>
      </c>
      <c r="P34" s="144">
        <f t="shared" si="10"/>
        <v>-0.6</v>
      </c>
      <c r="Q34" s="144">
        <f t="shared" si="10"/>
        <v>0</v>
      </c>
      <c r="R34" s="144">
        <f t="shared" si="10"/>
        <v>-40.4</v>
      </c>
      <c r="S34" s="144">
        <f t="shared" si="10"/>
        <v>0</v>
      </c>
      <c r="T34" s="144">
        <f t="shared" si="10"/>
        <v>0</v>
      </c>
      <c r="U34" s="144">
        <f t="shared" si="10"/>
        <v>0</v>
      </c>
      <c r="V34" s="144">
        <f t="shared" si="10"/>
        <v>0</v>
      </c>
      <c r="W34" s="144">
        <f t="shared" si="10"/>
        <v>129.1</v>
      </c>
    </row>
    <row r="35" spans="1:23" x14ac:dyDescent="0.2">
      <c r="A35" s="71" t="s">
        <v>462</v>
      </c>
      <c r="B35" s="16"/>
      <c r="C35" s="138" t="s">
        <v>534</v>
      </c>
      <c r="D35" s="16"/>
      <c r="E35" s="136">
        <f t="shared" si="9"/>
        <v>130.5</v>
      </c>
      <c r="F35" s="136">
        <f>+H35+W35</f>
        <v>129.1</v>
      </c>
      <c r="G35" s="136">
        <f>+G36+G37</f>
        <v>0</v>
      </c>
      <c r="H35" s="136">
        <f>+H36+H37</f>
        <v>0</v>
      </c>
      <c r="I35" s="136">
        <f>+I36+I37</f>
        <v>0</v>
      </c>
      <c r="J35" s="136">
        <f>+J36+J37</f>
        <v>0</v>
      </c>
      <c r="K35" s="136">
        <f>+K36+K37</f>
        <v>130.5</v>
      </c>
      <c r="L35" s="136">
        <f t="shared" ref="L35:W35" si="11">+L36+L37</f>
        <v>0</v>
      </c>
      <c r="M35" s="136">
        <f t="shared" si="11"/>
        <v>0</v>
      </c>
      <c r="N35" s="136">
        <f t="shared" si="11"/>
        <v>0</v>
      </c>
      <c r="O35" s="136">
        <f t="shared" si="11"/>
        <v>-41</v>
      </c>
      <c r="P35" s="136">
        <f t="shared" si="11"/>
        <v>-0.6</v>
      </c>
      <c r="Q35" s="136">
        <f t="shared" si="11"/>
        <v>0</v>
      </c>
      <c r="R35" s="136">
        <f t="shared" si="11"/>
        <v>-40.4</v>
      </c>
      <c r="S35" s="136">
        <f t="shared" si="11"/>
        <v>0</v>
      </c>
      <c r="T35" s="136">
        <f t="shared" si="11"/>
        <v>0</v>
      </c>
      <c r="U35" s="136">
        <f t="shared" si="11"/>
        <v>0</v>
      </c>
      <c r="V35" s="136">
        <f t="shared" si="11"/>
        <v>0</v>
      </c>
      <c r="W35" s="136">
        <f t="shared" si="11"/>
        <v>129.1</v>
      </c>
    </row>
    <row r="36" spans="1:23" ht="25.5" x14ac:dyDescent="0.2">
      <c r="A36" s="71" t="s">
        <v>553</v>
      </c>
      <c r="B36" s="16"/>
      <c r="C36" s="49" t="s">
        <v>224</v>
      </c>
      <c r="D36" s="16" t="s">
        <v>50</v>
      </c>
      <c r="E36" s="136">
        <f t="shared" si="9"/>
        <v>10</v>
      </c>
      <c r="F36" s="136">
        <f>+H36+W36</f>
        <v>9.4</v>
      </c>
      <c r="G36" s="136">
        <f>0.6-0.6</f>
        <v>0</v>
      </c>
      <c r="H36" s="136">
        <v>0</v>
      </c>
      <c r="I36" s="136"/>
      <c r="J36" s="136"/>
      <c r="K36" s="136">
        <f>50.4-40.4</f>
        <v>10</v>
      </c>
      <c r="L36" s="22"/>
      <c r="O36" s="22">
        <f t="shared" si="2"/>
        <v>-41</v>
      </c>
      <c r="P36" s="22">
        <v>-0.6</v>
      </c>
      <c r="Q36" s="22"/>
      <c r="R36" s="22">
        <v>-40.4</v>
      </c>
      <c r="S36" s="22">
        <f t="shared" si="3"/>
        <v>0</v>
      </c>
      <c r="T36" s="22"/>
      <c r="U36" s="22"/>
      <c r="V36" s="137"/>
      <c r="W36" s="13">
        <v>9.4</v>
      </c>
    </row>
    <row r="37" spans="1:23" ht="45" customHeight="1" x14ac:dyDescent="0.2">
      <c r="A37" s="71" t="s">
        <v>554</v>
      </c>
      <c r="B37" s="16"/>
      <c r="C37" s="27" t="s">
        <v>555</v>
      </c>
      <c r="D37" s="16" t="s">
        <v>222</v>
      </c>
      <c r="E37" s="136">
        <f t="shared" si="9"/>
        <v>120.5</v>
      </c>
      <c r="F37" s="136">
        <f>+H37+W37</f>
        <v>119.7</v>
      </c>
      <c r="G37" s="136"/>
      <c r="H37" s="136"/>
      <c r="I37" s="136"/>
      <c r="J37" s="136"/>
      <c r="K37" s="136">
        <v>120.5</v>
      </c>
      <c r="L37" s="22"/>
      <c r="O37" s="22">
        <f t="shared" si="2"/>
        <v>0</v>
      </c>
      <c r="P37" s="22"/>
      <c r="Q37" s="22"/>
      <c r="R37" s="22"/>
      <c r="S37" s="22">
        <f t="shared" si="3"/>
        <v>0</v>
      </c>
      <c r="T37" s="22"/>
      <c r="U37" s="22"/>
      <c r="V37" s="137"/>
      <c r="W37" s="13">
        <v>119.7</v>
      </c>
    </row>
    <row r="38" spans="1:23" ht="16.5" customHeight="1" x14ac:dyDescent="0.2">
      <c r="A38" s="13">
        <v>12</v>
      </c>
      <c r="B38" s="11" t="s">
        <v>226</v>
      </c>
      <c r="C38" s="51" t="s">
        <v>227</v>
      </c>
      <c r="D38" s="8"/>
      <c r="E38" s="144">
        <f t="shared" si="9"/>
        <v>32.200000000000003</v>
      </c>
      <c r="F38" s="144">
        <f>+H38+W38</f>
        <v>4.2</v>
      </c>
      <c r="G38" s="144">
        <f>+G39</f>
        <v>0.89999999999999991</v>
      </c>
      <c r="H38" s="144">
        <f>+H39</f>
        <v>0</v>
      </c>
      <c r="I38" s="144">
        <f>+I39</f>
        <v>0</v>
      </c>
      <c r="J38" s="144">
        <f>+J39</f>
        <v>0</v>
      </c>
      <c r="K38" s="144">
        <f>+K39</f>
        <v>31.300000000000004</v>
      </c>
      <c r="L38" s="144">
        <f t="shared" ref="L38:W38" si="12">+L39</f>
        <v>0</v>
      </c>
      <c r="M38" s="144">
        <f t="shared" si="12"/>
        <v>0</v>
      </c>
      <c r="N38" s="144">
        <f t="shared" si="12"/>
        <v>0</v>
      </c>
      <c r="O38" s="144">
        <f t="shared" si="12"/>
        <v>-247</v>
      </c>
      <c r="P38" s="144">
        <f t="shared" si="12"/>
        <v>-0.9</v>
      </c>
      <c r="Q38" s="144">
        <f t="shared" si="12"/>
        <v>0</v>
      </c>
      <c r="R38" s="144">
        <f t="shared" si="12"/>
        <v>-246.1</v>
      </c>
      <c r="S38" s="144">
        <f t="shared" si="12"/>
        <v>0</v>
      </c>
      <c r="T38" s="144">
        <f t="shared" si="12"/>
        <v>0</v>
      </c>
      <c r="U38" s="144">
        <f t="shared" si="12"/>
        <v>0</v>
      </c>
      <c r="V38" s="144">
        <f t="shared" si="12"/>
        <v>0</v>
      </c>
      <c r="W38" s="144">
        <f t="shared" si="12"/>
        <v>4.2</v>
      </c>
    </row>
    <row r="39" spans="1:23" ht="15" customHeight="1" x14ac:dyDescent="0.2">
      <c r="A39" s="13">
        <v>13</v>
      </c>
      <c r="B39" s="11"/>
      <c r="C39" s="138" t="s">
        <v>534</v>
      </c>
      <c r="D39" s="16"/>
      <c r="E39" s="136">
        <f t="shared" si="9"/>
        <v>32.200000000000003</v>
      </c>
      <c r="F39" s="136">
        <f>+H39+L39</f>
        <v>0</v>
      </c>
      <c r="G39" s="136">
        <f>+G40+G41+G42+G43</f>
        <v>0.89999999999999991</v>
      </c>
      <c r="H39" s="136">
        <f>+H40+H41+H42+H43</f>
        <v>0</v>
      </c>
      <c r="I39" s="136">
        <f>+I40+I41+I42+I43</f>
        <v>0</v>
      </c>
      <c r="J39" s="136">
        <f>+J40+J41+J42+J43</f>
        <v>0</v>
      </c>
      <c r="K39" s="136">
        <f>+K40+K41+K42+K43</f>
        <v>31.300000000000004</v>
      </c>
      <c r="L39" s="136">
        <f t="shared" ref="L39:W39" si="13">+L40+L41+L42+L43</f>
        <v>0</v>
      </c>
      <c r="M39" s="136">
        <f t="shared" si="13"/>
        <v>0</v>
      </c>
      <c r="N39" s="136">
        <f t="shared" si="13"/>
        <v>0</v>
      </c>
      <c r="O39" s="136">
        <f t="shared" si="13"/>
        <v>-247</v>
      </c>
      <c r="P39" s="136">
        <f t="shared" si="13"/>
        <v>-0.9</v>
      </c>
      <c r="Q39" s="136">
        <f t="shared" si="13"/>
        <v>0</v>
      </c>
      <c r="R39" s="136">
        <f t="shared" si="13"/>
        <v>-246.1</v>
      </c>
      <c r="S39" s="136">
        <f t="shared" si="13"/>
        <v>0</v>
      </c>
      <c r="T39" s="136">
        <f t="shared" si="13"/>
        <v>0</v>
      </c>
      <c r="U39" s="136">
        <f t="shared" si="13"/>
        <v>0</v>
      </c>
      <c r="V39" s="136">
        <f t="shared" si="13"/>
        <v>0</v>
      </c>
      <c r="W39" s="136">
        <f t="shared" si="13"/>
        <v>4.2</v>
      </c>
    </row>
    <row r="40" spans="1:23" ht="41.25" customHeight="1" x14ac:dyDescent="0.2">
      <c r="A40" s="71" t="s">
        <v>556</v>
      </c>
      <c r="B40" s="16"/>
      <c r="C40" s="40" t="s">
        <v>256</v>
      </c>
      <c r="D40" s="18" t="s">
        <v>238</v>
      </c>
      <c r="E40" s="136">
        <f t="shared" si="9"/>
        <v>0</v>
      </c>
      <c r="F40" s="136">
        <f>+H40+W40</f>
        <v>0</v>
      </c>
      <c r="G40" s="136">
        <f>0.9-0.9</f>
        <v>0</v>
      </c>
      <c r="H40" s="136">
        <v>0</v>
      </c>
      <c r="I40" s="136"/>
      <c r="J40" s="136"/>
      <c r="K40" s="136">
        <f>83.1-83.1</f>
        <v>0</v>
      </c>
      <c r="L40" s="22"/>
      <c r="O40" s="22">
        <f t="shared" si="2"/>
        <v>-84</v>
      </c>
      <c r="P40" s="22">
        <v>-0.9</v>
      </c>
      <c r="Q40" s="22"/>
      <c r="R40" s="22">
        <v>-83.1</v>
      </c>
      <c r="S40" s="22">
        <f t="shared" si="3"/>
        <v>0</v>
      </c>
      <c r="T40" s="22"/>
      <c r="U40" s="22"/>
      <c r="V40" s="137"/>
      <c r="W40" s="146">
        <v>0</v>
      </c>
    </row>
    <row r="41" spans="1:23" ht="25.5" x14ac:dyDescent="0.2">
      <c r="A41" s="71" t="s">
        <v>557</v>
      </c>
      <c r="B41" s="16"/>
      <c r="C41" s="40" t="s">
        <v>258</v>
      </c>
      <c r="D41" s="18" t="s">
        <v>229</v>
      </c>
      <c r="E41" s="136">
        <f t="shared" si="9"/>
        <v>14.000000000000005</v>
      </c>
      <c r="F41" s="136">
        <f>+H41+W41</f>
        <v>4.2</v>
      </c>
      <c r="G41" s="136">
        <v>0.1</v>
      </c>
      <c r="H41" s="136">
        <v>0</v>
      </c>
      <c r="I41" s="136"/>
      <c r="J41" s="136"/>
      <c r="K41" s="136">
        <f>113.9-100</f>
        <v>13.900000000000006</v>
      </c>
      <c r="L41" s="22"/>
      <c r="M41" s="22"/>
      <c r="N41" s="22"/>
      <c r="O41" s="22">
        <f t="shared" si="2"/>
        <v>-100</v>
      </c>
      <c r="P41" s="22"/>
      <c r="Q41" s="22"/>
      <c r="R41" s="22">
        <v>-100</v>
      </c>
      <c r="S41" s="22">
        <f t="shared" si="3"/>
        <v>0</v>
      </c>
      <c r="T41" s="22"/>
      <c r="U41" s="22"/>
      <c r="V41" s="137"/>
      <c r="W41" s="13">
        <v>4.2</v>
      </c>
    </row>
    <row r="42" spans="1:23" ht="30" customHeight="1" x14ac:dyDescent="0.2">
      <c r="A42" s="71" t="s">
        <v>558</v>
      </c>
      <c r="B42" s="16"/>
      <c r="C42" s="40" t="s">
        <v>260</v>
      </c>
      <c r="D42" s="18" t="s">
        <v>229</v>
      </c>
      <c r="E42" s="136">
        <f t="shared" si="9"/>
        <v>4.9999999999999973</v>
      </c>
      <c r="F42" s="136">
        <f>+H42+W42</f>
        <v>0</v>
      </c>
      <c r="G42" s="136">
        <v>0.7</v>
      </c>
      <c r="H42" s="136">
        <v>0</v>
      </c>
      <c r="I42" s="136"/>
      <c r="J42" s="136"/>
      <c r="K42" s="136">
        <f>67.3-63</f>
        <v>4.2999999999999972</v>
      </c>
      <c r="L42" s="22"/>
      <c r="O42" s="22">
        <f t="shared" si="2"/>
        <v>-63</v>
      </c>
      <c r="P42" s="22"/>
      <c r="Q42" s="22"/>
      <c r="R42" s="22">
        <v>-63</v>
      </c>
      <c r="S42" s="22">
        <f t="shared" si="3"/>
        <v>0</v>
      </c>
      <c r="T42" s="22"/>
      <c r="U42" s="22"/>
      <c r="V42" s="137"/>
      <c r="W42" s="146">
        <v>0</v>
      </c>
    </row>
    <row r="43" spans="1:23" ht="41.25" customHeight="1" x14ac:dyDescent="0.2">
      <c r="A43" s="71" t="s">
        <v>559</v>
      </c>
      <c r="B43" s="16"/>
      <c r="C43" s="40" t="s">
        <v>262</v>
      </c>
      <c r="D43" s="18" t="s">
        <v>229</v>
      </c>
      <c r="E43" s="136">
        <f t="shared" si="9"/>
        <v>13.2</v>
      </c>
      <c r="F43" s="136">
        <f>+H43+L43</f>
        <v>0</v>
      </c>
      <c r="G43" s="136">
        <v>0.1</v>
      </c>
      <c r="H43" s="136">
        <v>0</v>
      </c>
      <c r="I43" s="136"/>
      <c r="J43" s="136"/>
      <c r="K43" s="136">
        <v>13.1</v>
      </c>
      <c r="L43" s="22"/>
      <c r="O43" s="22">
        <f t="shared" si="2"/>
        <v>0</v>
      </c>
      <c r="P43" s="22"/>
      <c r="Q43" s="22"/>
      <c r="R43" s="22"/>
      <c r="S43" s="22">
        <f t="shared" si="3"/>
        <v>0</v>
      </c>
      <c r="T43" s="22"/>
      <c r="U43" s="22"/>
      <c r="V43" s="137"/>
      <c r="W43" s="146">
        <v>0</v>
      </c>
    </row>
    <row r="44" spans="1:23" ht="28.5" customHeight="1" x14ac:dyDescent="0.2">
      <c r="A44" s="13">
        <v>14</v>
      </c>
      <c r="B44" s="11" t="s">
        <v>264</v>
      </c>
      <c r="C44" s="73" t="s">
        <v>265</v>
      </c>
      <c r="D44" s="16"/>
      <c r="E44" s="144">
        <f t="shared" si="9"/>
        <v>2883.2999999999997</v>
      </c>
      <c r="F44" s="144">
        <f t="shared" ref="F44:F54" si="14">+H44+W44</f>
        <v>1962.2</v>
      </c>
      <c r="G44" s="144">
        <f>+G45+G54</f>
        <v>156.20000000000002</v>
      </c>
      <c r="H44" s="144">
        <f>+H45+H54</f>
        <v>140.80000000000001</v>
      </c>
      <c r="I44" s="144">
        <f>+I45+I54</f>
        <v>16.3</v>
      </c>
      <c r="J44" s="144">
        <f>+J45+J54</f>
        <v>16.100000000000001</v>
      </c>
      <c r="K44" s="144">
        <f>+K45+K54</f>
        <v>2727.1</v>
      </c>
      <c r="L44" s="144">
        <f t="shared" ref="L44:W44" si="15">+L45+L54</f>
        <v>120</v>
      </c>
      <c r="M44" s="144">
        <f t="shared" si="15"/>
        <v>120</v>
      </c>
      <c r="N44" s="144">
        <f t="shared" si="15"/>
        <v>120</v>
      </c>
      <c r="O44" s="144">
        <f t="shared" si="15"/>
        <v>56</v>
      </c>
      <c r="P44" s="144">
        <f t="shared" si="15"/>
        <v>90.5</v>
      </c>
      <c r="Q44" s="144">
        <f t="shared" si="15"/>
        <v>120</v>
      </c>
      <c r="R44" s="144">
        <f t="shared" si="15"/>
        <v>85.5</v>
      </c>
      <c r="S44" s="144">
        <f t="shared" si="15"/>
        <v>120</v>
      </c>
      <c r="T44" s="144">
        <f t="shared" si="15"/>
        <v>120</v>
      </c>
      <c r="U44" s="144">
        <f t="shared" si="15"/>
        <v>120</v>
      </c>
      <c r="V44" s="144">
        <f t="shared" si="15"/>
        <v>120</v>
      </c>
      <c r="W44" s="144">
        <f t="shared" si="15"/>
        <v>1821.4</v>
      </c>
    </row>
    <row r="45" spans="1:23" ht="16.5" customHeight="1" x14ac:dyDescent="0.2">
      <c r="A45" s="13">
        <v>15</v>
      </c>
      <c r="B45" s="11"/>
      <c r="C45" s="138" t="s">
        <v>534</v>
      </c>
      <c r="E45" s="136">
        <f t="shared" si="9"/>
        <v>2741.7999999999997</v>
      </c>
      <c r="F45" s="136">
        <f t="shared" si="14"/>
        <v>1863.9</v>
      </c>
      <c r="G45" s="136">
        <f>+G46+G47+G48+G49+G50+G51+G52+G53</f>
        <v>134.70000000000002</v>
      </c>
      <c r="H45" s="136">
        <f>+H46+H47+H48+H49+H50+H51+H52+H53</f>
        <v>120.9</v>
      </c>
      <c r="I45" s="136">
        <f>+I46+I47+I48+I49+I50+I51+I52+I53</f>
        <v>0</v>
      </c>
      <c r="J45" s="136">
        <f>+J46+J47+J48+J49+J50+J51+J52+J53</f>
        <v>0</v>
      </c>
      <c r="K45" s="136">
        <f>+K46+K47+K48+K49+K50+K51+K52+K53</f>
        <v>2607.1</v>
      </c>
      <c r="L45" s="136">
        <f t="shared" ref="L45:W45" si="16">+L46+L47+L48+L49+L50+L51+L52+L53</f>
        <v>0</v>
      </c>
      <c r="M45" s="136">
        <f t="shared" si="16"/>
        <v>0</v>
      </c>
      <c r="N45" s="136">
        <f t="shared" si="16"/>
        <v>0</v>
      </c>
      <c r="O45" s="136">
        <f t="shared" si="16"/>
        <v>-64</v>
      </c>
      <c r="P45" s="136">
        <f t="shared" si="16"/>
        <v>-29.5</v>
      </c>
      <c r="Q45" s="136">
        <f t="shared" si="16"/>
        <v>0</v>
      </c>
      <c r="R45" s="136">
        <f t="shared" si="16"/>
        <v>-34.5</v>
      </c>
      <c r="S45" s="136">
        <f t="shared" si="16"/>
        <v>0</v>
      </c>
      <c r="T45" s="136">
        <f t="shared" si="16"/>
        <v>0</v>
      </c>
      <c r="U45" s="136">
        <f t="shared" si="16"/>
        <v>0</v>
      </c>
      <c r="V45" s="136">
        <f t="shared" si="16"/>
        <v>0</v>
      </c>
      <c r="W45" s="136">
        <f t="shared" si="16"/>
        <v>1743</v>
      </c>
    </row>
    <row r="46" spans="1:23" ht="42.75" customHeight="1" x14ac:dyDescent="0.2">
      <c r="A46" s="71" t="s">
        <v>560</v>
      </c>
      <c r="B46" s="16"/>
      <c r="C46" s="147" t="s">
        <v>288</v>
      </c>
      <c r="D46" s="16" t="s">
        <v>561</v>
      </c>
      <c r="E46" s="136">
        <f t="shared" si="9"/>
        <v>164</v>
      </c>
      <c r="F46" s="136">
        <f t="shared" si="14"/>
        <v>152</v>
      </c>
      <c r="G46" s="136">
        <f>59.4+140-60-30</f>
        <v>109.4</v>
      </c>
      <c r="H46" s="136">
        <v>100.8</v>
      </c>
      <c r="I46" s="136"/>
      <c r="J46" s="136"/>
      <c r="K46" s="136">
        <f>194.6-140+60-60</f>
        <v>54.599999999999994</v>
      </c>
      <c r="L46" s="22"/>
      <c r="O46" s="22">
        <f t="shared" si="2"/>
        <v>-90</v>
      </c>
      <c r="P46" s="22">
        <v>-30</v>
      </c>
      <c r="Q46" s="22"/>
      <c r="R46" s="22">
        <v>-60</v>
      </c>
      <c r="S46" s="22">
        <f t="shared" si="3"/>
        <v>0</v>
      </c>
      <c r="T46" s="22"/>
      <c r="U46" s="22"/>
      <c r="V46" s="137"/>
      <c r="W46" s="76">
        <v>51.2</v>
      </c>
    </row>
    <row r="47" spans="1:23" ht="29.45" customHeight="1" x14ac:dyDescent="0.2">
      <c r="A47" s="71" t="s">
        <v>562</v>
      </c>
      <c r="B47" s="16"/>
      <c r="C47" s="147" t="s">
        <v>563</v>
      </c>
      <c r="D47" s="16" t="s">
        <v>270</v>
      </c>
      <c r="E47" s="136">
        <f t="shared" si="9"/>
        <v>51.5</v>
      </c>
      <c r="F47" s="136">
        <f t="shared" si="14"/>
        <v>24.9</v>
      </c>
      <c r="G47" s="136">
        <v>2.2000000000000002</v>
      </c>
      <c r="H47" s="136">
        <v>0.9</v>
      </c>
      <c r="I47" s="136"/>
      <c r="J47" s="136"/>
      <c r="K47" s="136">
        <v>49.3</v>
      </c>
      <c r="L47" s="22"/>
      <c r="O47" s="22">
        <f t="shared" si="2"/>
        <v>0</v>
      </c>
      <c r="P47" s="22"/>
      <c r="Q47" s="22"/>
      <c r="R47" s="22"/>
      <c r="S47" s="22">
        <f t="shared" si="3"/>
        <v>0</v>
      </c>
      <c r="T47" s="22"/>
      <c r="U47" s="22"/>
      <c r="V47" s="137"/>
      <c r="W47" s="148">
        <v>24</v>
      </c>
    </row>
    <row r="48" spans="1:23" ht="30.6" customHeight="1" x14ac:dyDescent="0.2">
      <c r="A48" s="71" t="s">
        <v>564</v>
      </c>
      <c r="B48" s="16"/>
      <c r="C48" s="48" t="s">
        <v>311</v>
      </c>
      <c r="D48" s="16" t="s">
        <v>561</v>
      </c>
      <c r="E48" s="136">
        <f t="shared" si="9"/>
        <v>869.69999999999993</v>
      </c>
      <c r="F48" s="136">
        <f t="shared" si="14"/>
        <v>489</v>
      </c>
      <c r="G48" s="136">
        <f>2.9+3+1.5</f>
        <v>7.4</v>
      </c>
      <c r="H48" s="136">
        <v>7.3</v>
      </c>
      <c r="I48" s="136"/>
      <c r="J48" s="136"/>
      <c r="K48" s="136">
        <f>866.8-3-1.5</f>
        <v>862.3</v>
      </c>
      <c r="L48" s="22"/>
      <c r="O48" s="22">
        <f t="shared" si="2"/>
        <v>0</v>
      </c>
      <c r="P48" s="22"/>
      <c r="Q48" s="22"/>
      <c r="R48" s="22"/>
      <c r="S48" s="22">
        <f t="shared" si="3"/>
        <v>0</v>
      </c>
      <c r="T48" s="22"/>
      <c r="U48" s="22"/>
      <c r="V48" s="137"/>
      <c r="W48" s="76">
        <v>481.7</v>
      </c>
    </row>
    <row r="49" spans="1:23" ht="51" x14ac:dyDescent="0.2">
      <c r="A49" s="71" t="s">
        <v>565</v>
      </c>
      <c r="B49" s="16"/>
      <c r="C49" s="48" t="s">
        <v>313</v>
      </c>
      <c r="D49" s="149" t="s">
        <v>566</v>
      </c>
      <c r="E49" s="136">
        <f t="shared" si="9"/>
        <v>989</v>
      </c>
      <c r="F49" s="136">
        <f t="shared" si="14"/>
        <v>661.1</v>
      </c>
      <c r="G49" s="136">
        <f>5.8+3+1+0.5</f>
        <v>10.3</v>
      </c>
      <c r="H49" s="139">
        <v>10</v>
      </c>
      <c r="I49" s="136"/>
      <c r="J49" s="136"/>
      <c r="K49" s="136">
        <f>983.2-3-1-0.5</f>
        <v>978.7</v>
      </c>
      <c r="L49" s="22"/>
      <c r="O49" s="22">
        <f t="shared" si="2"/>
        <v>0</v>
      </c>
      <c r="P49" s="22">
        <v>0.5</v>
      </c>
      <c r="Q49" s="22"/>
      <c r="R49" s="22">
        <v>-0.5</v>
      </c>
      <c r="S49" s="22">
        <f t="shared" si="3"/>
        <v>0</v>
      </c>
      <c r="T49" s="22"/>
      <c r="U49" s="22"/>
      <c r="V49" s="137"/>
      <c r="W49" s="150">
        <v>651.1</v>
      </c>
    </row>
    <row r="50" spans="1:23" ht="25.5" x14ac:dyDescent="0.2">
      <c r="A50" s="71" t="s">
        <v>567</v>
      </c>
      <c r="B50" s="16"/>
      <c r="C50" s="48" t="s">
        <v>315</v>
      </c>
      <c r="D50" s="149" t="s">
        <v>285</v>
      </c>
      <c r="E50" s="136">
        <f t="shared" si="9"/>
        <v>484</v>
      </c>
      <c r="F50" s="136">
        <f t="shared" si="14"/>
        <v>404.7</v>
      </c>
      <c r="G50" s="136">
        <v>5.4</v>
      </c>
      <c r="H50" s="136">
        <v>1.9</v>
      </c>
      <c r="I50" s="136"/>
      <c r="J50" s="136"/>
      <c r="K50" s="136">
        <v>478.6</v>
      </c>
      <c r="L50" s="22"/>
      <c r="O50" s="22">
        <f t="shared" si="2"/>
        <v>0</v>
      </c>
      <c r="P50" s="22"/>
      <c r="Q50" s="22"/>
      <c r="R50" s="22"/>
      <c r="S50" s="22">
        <f t="shared" si="3"/>
        <v>0</v>
      </c>
      <c r="T50" s="22"/>
      <c r="U50" s="22"/>
      <c r="V50" s="137"/>
      <c r="W50" s="76">
        <v>402.8</v>
      </c>
    </row>
    <row r="51" spans="1:23" x14ac:dyDescent="0.2">
      <c r="A51" s="71" t="s">
        <v>568</v>
      </c>
      <c r="B51" s="16"/>
      <c r="C51" s="48" t="s">
        <v>320</v>
      </c>
      <c r="D51" s="149" t="s">
        <v>318</v>
      </c>
      <c r="E51" s="136">
        <f t="shared" si="9"/>
        <v>27.6</v>
      </c>
      <c r="F51" s="136">
        <f t="shared" si="14"/>
        <v>27.5</v>
      </c>
      <c r="G51" s="136"/>
      <c r="H51" s="136"/>
      <c r="I51" s="136"/>
      <c r="J51" s="136"/>
      <c r="K51" s="136">
        <v>27.6</v>
      </c>
      <c r="L51" s="22"/>
      <c r="O51" s="22">
        <f t="shared" si="2"/>
        <v>0</v>
      </c>
      <c r="P51" s="22"/>
      <c r="Q51" s="22"/>
      <c r="R51" s="22"/>
      <c r="S51" s="22">
        <f t="shared" si="3"/>
        <v>0</v>
      </c>
      <c r="T51" s="22"/>
      <c r="U51" s="22"/>
      <c r="V51" s="137"/>
      <c r="W51" s="76">
        <v>27.5</v>
      </c>
    </row>
    <row r="52" spans="1:23" ht="20.45" customHeight="1" x14ac:dyDescent="0.2">
      <c r="A52" s="71" t="s">
        <v>569</v>
      </c>
      <c r="B52" s="16"/>
      <c r="C52" s="48" t="s">
        <v>570</v>
      </c>
      <c r="D52" s="149" t="s">
        <v>571</v>
      </c>
      <c r="E52" s="136">
        <f t="shared" si="9"/>
        <v>15</v>
      </c>
      <c r="F52" s="136">
        <f t="shared" si="14"/>
        <v>0</v>
      </c>
      <c r="G52" s="136"/>
      <c r="H52" s="136"/>
      <c r="I52" s="136"/>
      <c r="J52" s="136"/>
      <c r="K52" s="136">
        <v>15</v>
      </c>
      <c r="L52" s="22"/>
      <c r="O52" s="22">
        <f t="shared" si="2"/>
        <v>0</v>
      </c>
      <c r="P52" s="22"/>
      <c r="Q52" s="22"/>
      <c r="R52" s="22"/>
      <c r="S52" s="22">
        <f t="shared" si="3"/>
        <v>0</v>
      </c>
      <c r="T52" s="22"/>
      <c r="U52" s="22"/>
      <c r="V52" s="137"/>
      <c r="W52" s="148">
        <v>0</v>
      </c>
    </row>
    <row r="53" spans="1:23" ht="21.6" customHeight="1" x14ac:dyDescent="0.2">
      <c r="A53" s="71" t="s">
        <v>572</v>
      </c>
      <c r="B53" s="16"/>
      <c r="C53" s="48" t="s">
        <v>317</v>
      </c>
      <c r="D53" s="149" t="s">
        <v>318</v>
      </c>
      <c r="E53" s="136">
        <f t="shared" si="9"/>
        <v>141</v>
      </c>
      <c r="F53" s="136">
        <f t="shared" si="14"/>
        <v>104.7</v>
      </c>
      <c r="G53" s="136"/>
      <c r="H53" s="136"/>
      <c r="I53" s="136"/>
      <c r="J53" s="136"/>
      <c r="K53" s="136">
        <f>115+26</f>
        <v>141</v>
      </c>
      <c r="L53" s="22"/>
      <c r="O53" s="22">
        <f t="shared" si="2"/>
        <v>26</v>
      </c>
      <c r="P53" s="22"/>
      <c r="Q53" s="22"/>
      <c r="R53" s="22">
        <v>26</v>
      </c>
      <c r="S53" s="22">
        <f t="shared" si="3"/>
        <v>0</v>
      </c>
      <c r="T53" s="22"/>
      <c r="U53" s="22"/>
      <c r="V53" s="137"/>
      <c r="W53" s="150">
        <v>104.7</v>
      </c>
    </row>
    <row r="54" spans="1:23" x14ac:dyDescent="0.2">
      <c r="A54" s="291" t="s">
        <v>573</v>
      </c>
      <c r="B54" s="262"/>
      <c r="C54" s="61" t="s">
        <v>266</v>
      </c>
      <c r="D54" s="293" t="s">
        <v>268</v>
      </c>
      <c r="E54" s="136">
        <f t="shared" si="9"/>
        <v>141.5</v>
      </c>
      <c r="F54" s="136">
        <f t="shared" si="14"/>
        <v>98.300000000000011</v>
      </c>
      <c r="G54" s="136">
        <v>21.5</v>
      </c>
      <c r="H54" s="136">
        <v>19.899999999999999</v>
      </c>
      <c r="I54" s="139">
        <v>16.3</v>
      </c>
      <c r="J54" s="139">
        <f>16+0.1</f>
        <v>16.100000000000001</v>
      </c>
      <c r="K54" s="139">
        <f>+K55</f>
        <v>120</v>
      </c>
      <c r="L54" s="139">
        <v>120</v>
      </c>
      <c r="M54" s="139">
        <v>120</v>
      </c>
      <c r="N54" s="139">
        <v>120</v>
      </c>
      <c r="O54" s="139">
        <v>120</v>
      </c>
      <c r="P54" s="139">
        <v>120</v>
      </c>
      <c r="Q54" s="139">
        <v>120</v>
      </c>
      <c r="R54" s="139">
        <v>120</v>
      </c>
      <c r="S54" s="139">
        <v>120</v>
      </c>
      <c r="T54" s="139">
        <v>120</v>
      </c>
      <c r="U54" s="139">
        <v>120</v>
      </c>
      <c r="V54" s="139">
        <v>120</v>
      </c>
      <c r="W54" s="151">
        <f>+W55</f>
        <v>78.400000000000006</v>
      </c>
    </row>
    <row r="55" spans="1:23" ht="38.25" x14ac:dyDescent="0.2">
      <c r="A55" s="292"/>
      <c r="B55" s="263"/>
      <c r="C55" s="27" t="s">
        <v>267</v>
      </c>
      <c r="D55" s="294"/>
      <c r="E55" s="136">
        <f t="shared" si="9"/>
        <v>141.5</v>
      </c>
      <c r="F55" s="136">
        <v>98.3</v>
      </c>
      <c r="G55" s="136">
        <v>21.5</v>
      </c>
      <c r="H55" s="136">
        <v>19.899999999999999</v>
      </c>
      <c r="I55" s="139">
        <v>16.3</v>
      </c>
      <c r="J55" s="139">
        <v>16.100000000000001</v>
      </c>
      <c r="K55" s="139">
        <v>120</v>
      </c>
      <c r="L55" s="33"/>
      <c r="M55" s="34"/>
      <c r="N55" s="34"/>
      <c r="O55" s="33">
        <f t="shared" si="2"/>
        <v>0</v>
      </c>
      <c r="P55" s="33"/>
      <c r="Q55" s="33"/>
      <c r="R55" s="33"/>
      <c r="S55" s="33">
        <f t="shared" si="3"/>
        <v>0</v>
      </c>
      <c r="T55" s="33"/>
      <c r="U55" s="33"/>
      <c r="V55" s="152"/>
      <c r="W55" s="150">
        <v>78.400000000000006</v>
      </c>
    </row>
    <row r="56" spans="1:23" ht="22.5" customHeight="1" x14ac:dyDescent="0.2">
      <c r="A56" s="13">
        <v>17</v>
      </c>
      <c r="B56" s="11" t="s">
        <v>326</v>
      </c>
      <c r="C56" s="79" t="s">
        <v>327</v>
      </c>
      <c r="D56" s="16"/>
      <c r="E56" s="144">
        <f t="shared" si="9"/>
        <v>2988.7000000000003</v>
      </c>
      <c r="F56" s="144">
        <f t="shared" ref="F56:F73" si="17">+H56+W56</f>
        <v>2203.6000000000004</v>
      </c>
      <c r="G56" s="144">
        <f>+G57</f>
        <v>18.100000000000001</v>
      </c>
      <c r="H56" s="144">
        <f>+H57</f>
        <v>7.3</v>
      </c>
      <c r="I56" s="144">
        <f>+I57</f>
        <v>0</v>
      </c>
      <c r="J56" s="144">
        <f>+J57</f>
        <v>0</v>
      </c>
      <c r="K56" s="144">
        <f>+K57</f>
        <v>2970.6000000000004</v>
      </c>
      <c r="L56" s="144">
        <f t="shared" ref="L56:W56" si="18">+L57</f>
        <v>0</v>
      </c>
      <c r="M56" s="144">
        <f t="shared" si="18"/>
        <v>0</v>
      </c>
      <c r="N56" s="144">
        <f t="shared" si="18"/>
        <v>0</v>
      </c>
      <c r="O56" s="144">
        <f t="shared" si="18"/>
        <v>308</v>
      </c>
      <c r="P56" s="144">
        <f t="shared" si="18"/>
        <v>0</v>
      </c>
      <c r="Q56" s="144">
        <f t="shared" si="18"/>
        <v>0</v>
      </c>
      <c r="R56" s="144">
        <f t="shared" si="18"/>
        <v>308</v>
      </c>
      <c r="S56" s="144">
        <f t="shared" si="18"/>
        <v>0</v>
      </c>
      <c r="T56" s="144">
        <f t="shared" si="18"/>
        <v>0</v>
      </c>
      <c r="U56" s="144">
        <f t="shared" si="18"/>
        <v>0</v>
      </c>
      <c r="V56" s="144">
        <f t="shared" si="18"/>
        <v>0</v>
      </c>
      <c r="W56" s="144">
        <f t="shared" si="18"/>
        <v>2196.3000000000002</v>
      </c>
    </row>
    <row r="57" spans="1:23" x14ac:dyDescent="0.2">
      <c r="A57" s="13">
        <v>18</v>
      </c>
      <c r="B57" s="16"/>
      <c r="C57" s="138" t="s">
        <v>534</v>
      </c>
      <c r="D57" s="18"/>
      <c r="E57" s="136">
        <f t="shared" si="9"/>
        <v>2988.7000000000003</v>
      </c>
      <c r="F57" s="136">
        <f t="shared" si="17"/>
        <v>2203.6000000000004</v>
      </c>
      <c r="G57" s="136">
        <f>+G58+G59+G60+G61+G62+G63</f>
        <v>18.100000000000001</v>
      </c>
      <c r="H57" s="136">
        <f>+H58+H59+H60+H61+H62+H63</f>
        <v>7.3</v>
      </c>
      <c r="I57" s="136">
        <f>+I58+I59+I60+I61+I62+I63</f>
        <v>0</v>
      </c>
      <c r="J57" s="136">
        <f>+J58+J59+J60+J61+J62+J63</f>
        <v>0</v>
      </c>
      <c r="K57" s="136">
        <f>+K58+K59+K60+K61+K62+K63</f>
        <v>2970.6000000000004</v>
      </c>
      <c r="L57" s="136">
        <f t="shared" ref="L57:W57" si="19">+L58+L59+L60+L61+L62+L63</f>
        <v>0</v>
      </c>
      <c r="M57" s="136">
        <f t="shared" si="19"/>
        <v>0</v>
      </c>
      <c r="N57" s="136">
        <f t="shared" si="19"/>
        <v>0</v>
      </c>
      <c r="O57" s="136">
        <f t="shared" si="19"/>
        <v>308</v>
      </c>
      <c r="P57" s="136">
        <f t="shared" si="19"/>
        <v>0</v>
      </c>
      <c r="Q57" s="136">
        <f t="shared" si="19"/>
        <v>0</v>
      </c>
      <c r="R57" s="136">
        <f t="shared" si="19"/>
        <v>308</v>
      </c>
      <c r="S57" s="136">
        <f t="shared" si="19"/>
        <v>0</v>
      </c>
      <c r="T57" s="136">
        <f t="shared" si="19"/>
        <v>0</v>
      </c>
      <c r="U57" s="136">
        <f t="shared" si="19"/>
        <v>0</v>
      </c>
      <c r="V57" s="136">
        <f t="shared" si="19"/>
        <v>0</v>
      </c>
      <c r="W57" s="136">
        <f t="shared" si="19"/>
        <v>2196.3000000000002</v>
      </c>
    </row>
    <row r="58" spans="1:23" ht="32.25" customHeight="1" x14ac:dyDescent="0.2">
      <c r="A58" s="13" t="s">
        <v>574</v>
      </c>
      <c r="B58" s="16"/>
      <c r="C58" s="138" t="s">
        <v>381</v>
      </c>
      <c r="D58" s="18" t="s">
        <v>303</v>
      </c>
      <c r="E58" s="136">
        <f t="shared" si="9"/>
        <v>158.69999999999999</v>
      </c>
      <c r="F58" s="136">
        <f t="shared" si="17"/>
        <v>88.1</v>
      </c>
      <c r="G58" s="136">
        <v>0.1</v>
      </c>
      <c r="H58" s="136">
        <v>0</v>
      </c>
      <c r="I58" s="136"/>
      <c r="J58" s="136"/>
      <c r="K58" s="136">
        <v>158.6</v>
      </c>
      <c r="L58" s="22"/>
      <c r="O58" s="22">
        <f t="shared" si="2"/>
        <v>0</v>
      </c>
      <c r="P58" s="22"/>
      <c r="Q58" s="22"/>
      <c r="R58" s="22"/>
      <c r="S58" s="22">
        <f t="shared" si="3"/>
        <v>0</v>
      </c>
      <c r="T58" s="22"/>
      <c r="U58" s="22"/>
      <c r="V58" s="137"/>
      <c r="W58" s="76">
        <v>88.1</v>
      </c>
    </row>
    <row r="59" spans="1:23" ht="28.9" customHeight="1" x14ac:dyDescent="0.2">
      <c r="A59" s="71" t="s">
        <v>575</v>
      </c>
      <c r="B59" s="16"/>
      <c r="C59" s="153" t="s">
        <v>385</v>
      </c>
      <c r="D59" s="18" t="s">
        <v>576</v>
      </c>
      <c r="E59" s="136">
        <f t="shared" si="9"/>
        <v>810</v>
      </c>
      <c r="F59" s="136">
        <f t="shared" si="17"/>
        <v>551.5</v>
      </c>
      <c r="G59" s="136"/>
      <c r="H59" s="136"/>
      <c r="I59" s="136"/>
      <c r="J59" s="136"/>
      <c r="K59" s="136">
        <v>810</v>
      </c>
      <c r="L59" s="22"/>
      <c r="O59" s="22">
        <f t="shared" si="2"/>
        <v>0</v>
      </c>
      <c r="P59" s="22"/>
      <c r="Q59" s="22"/>
      <c r="R59" s="22"/>
      <c r="S59" s="22">
        <f t="shared" si="3"/>
        <v>0</v>
      </c>
      <c r="T59" s="22"/>
      <c r="U59" s="22"/>
      <c r="V59" s="137"/>
      <c r="W59" s="76">
        <v>551.5</v>
      </c>
    </row>
    <row r="60" spans="1:23" ht="18.600000000000001" customHeight="1" x14ac:dyDescent="0.2">
      <c r="A60" s="13" t="s">
        <v>577</v>
      </c>
      <c r="B60" s="16"/>
      <c r="C60" s="27" t="s">
        <v>405</v>
      </c>
      <c r="D60" s="18" t="s">
        <v>406</v>
      </c>
      <c r="E60" s="136">
        <f t="shared" si="9"/>
        <v>69.999999999999986</v>
      </c>
      <c r="F60" s="136">
        <f t="shared" si="17"/>
        <v>43.4</v>
      </c>
      <c r="G60" s="136">
        <v>1.8</v>
      </c>
      <c r="H60" s="136">
        <v>0.3</v>
      </c>
      <c r="I60" s="136"/>
      <c r="J60" s="136"/>
      <c r="K60" s="136">
        <f>298.2-165-65</f>
        <v>68.199999999999989</v>
      </c>
      <c r="L60" s="22"/>
      <c r="O60" s="22">
        <f t="shared" si="2"/>
        <v>-65</v>
      </c>
      <c r="P60" s="22"/>
      <c r="Q60" s="22"/>
      <c r="R60" s="22">
        <v>-65</v>
      </c>
      <c r="S60" s="22">
        <f t="shared" si="3"/>
        <v>0</v>
      </c>
      <c r="T60" s="22"/>
      <c r="U60" s="22"/>
      <c r="V60" s="137"/>
      <c r="W60" s="76">
        <v>43.1</v>
      </c>
    </row>
    <row r="61" spans="1:23" ht="16.899999999999999" customHeight="1" x14ac:dyDescent="0.2">
      <c r="A61" s="71" t="s">
        <v>578</v>
      </c>
      <c r="B61" s="16"/>
      <c r="C61" s="27" t="s">
        <v>408</v>
      </c>
      <c r="D61" s="18" t="s">
        <v>406</v>
      </c>
      <c r="E61" s="136">
        <f t="shared" si="9"/>
        <v>611</v>
      </c>
      <c r="F61" s="139">
        <f t="shared" si="17"/>
        <v>386.6</v>
      </c>
      <c r="G61" s="136">
        <v>3</v>
      </c>
      <c r="H61" s="136">
        <v>0</v>
      </c>
      <c r="I61" s="136"/>
      <c r="J61" s="136"/>
      <c r="K61" s="136">
        <f>235+373</f>
        <v>608</v>
      </c>
      <c r="L61" s="22"/>
      <c r="O61" s="22">
        <f t="shared" si="2"/>
        <v>373</v>
      </c>
      <c r="P61" s="22"/>
      <c r="Q61" s="22"/>
      <c r="R61" s="22">
        <v>373</v>
      </c>
      <c r="S61" s="22">
        <f t="shared" si="3"/>
        <v>0</v>
      </c>
      <c r="T61" s="22"/>
      <c r="U61" s="22"/>
      <c r="V61" s="137"/>
      <c r="W61" s="150">
        <v>386.6</v>
      </c>
    </row>
    <row r="62" spans="1:23" ht="16.149999999999999" customHeight="1" x14ac:dyDescent="0.2">
      <c r="A62" s="13" t="s">
        <v>579</v>
      </c>
      <c r="B62" s="16"/>
      <c r="C62" s="27" t="s">
        <v>412</v>
      </c>
      <c r="D62" s="18" t="s">
        <v>406</v>
      </c>
      <c r="E62" s="136">
        <f t="shared" si="9"/>
        <v>643</v>
      </c>
      <c r="F62" s="136">
        <f t="shared" si="17"/>
        <v>615.80000000000007</v>
      </c>
      <c r="G62" s="136">
        <v>6.4</v>
      </c>
      <c r="H62" s="136">
        <v>3.7</v>
      </c>
      <c r="I62" s="136"/>
      <c r="J62" s="136"/>
      <c r="K62" s="136">
        <v>636.6</v>
      </c>
      <c r="L62" s="22"/>
      <c r="O62" s="22">
        <f t="shared" si="2"/>
        <v>0</v>
      </c>
      <c r="P62" s="154"/>
      <c r="Q62" s="22"/>
      <c r="R62" s="22"/>
      <c r="S62" s="22">
        <f t="shared" si="3"/>
        <v>0</v>
      </c>
      <c r="T62" s="22"/>
      <c r="U62" s="22"/>
      <c r="V62" s="137"/>
      <c r="W62" s="76">
        <v>612.1</v>
      </c>
    </row>
    <row r="63" spans="1:23" x14ac:dyDescent="0.2">
      <c r="A63" s="71" t="s">
        <v>580</v>
      </c>
      <c r="B63" s="16"/>
      <c r="C63" s="27" t="s">
        <v>414</v>
      </c>
      <c r="D63" s="18" t="s">
        <v>406</v>
      </c>
      <c r="E63" s="136">
        <f t="shared" si="9"/>
        <v>696</v>
      </c>
      <c r="F63" s="136">
        <f t="shared" si="17"/>
        <v>518.19999999999993</v>
      </c>
      <c r="G63" s="136">
        <v>6.8</v>
      </c>
      <c r="H63" s="136">
        <v>3.3</v>
      </c>
      <c r="I63" s="136"/>
      <c r="J63" s="136"/>
      <c r="K63" s="136">
        <v>689.2</v>
      </c>
      <c r="L63" s="22"/>
      <c r="O63" s="22">
        <f t="shared" si="2"/>
        <v>0</v>
      </c>
      <c r="P63" s="22"/>
      <c r="Q63" s="22"/>
      <c r="R63" s="22"/>
      <c r="S63" s="22">
        <f t="shared" si="3"/>
        <v>0</v>
      </c>
      <c r="T63" s="22"/>
      <c r="U63" s="22"/>
      <c r="V63" s="137"/>
      <c r="W63" s="76">
        <v>514.9</v>
      </c>
    </row>
    <row r="64" spans="1:23" ht="17.25" customHeight="1" x14ac:dyDescent="0.2">
      <c r="A64" s="13">
        <v>19</v>
      </c>
      <c r="B64" s="11" t="s">
        <v>421</v>
      </c>
      <c r="C64" s="51" t="s">
        <v>422</v>
      </c>
      <c r="D64" s="16"/>
      <c r="E64" s="144">
        <f t="shared" si="9"/>
        <v>1348</v>
      </c>
      <c r="F64" s="144">
        <f t="shared" si="17"/>
        <v>1153.5</v>
      </c>
      <c r="G64" s="144">
        <f>+G65</f>
        <v>180.8</v>
      </c>
      <c r="H64" s="144">
        <f>+H65</f>
        <v>152.30000000000001</v>
      </c>
      <c r="I64" s="144">
        <f>+I65</f>
        <v>0</v>
      </c>
      <c r="J64" s="144">
        <f>+J65</f>
        <v>0</v>
      </c>
      <c r="K64" s="144">
        <f>+K65</f>
        <v>1167.2</v>
      </c>
      <c r="L64" s="144">
        <f t="shared" ref="L64:W64" si="20">+L65</f>
        <v>0</v>
      </c>
      <c r="M64" s="144">
        <f t="shared" si="20"/>
        <v>0</v>
      </c>
      <c r="N64" s="144">
        <f t="shared" si="20"/>
        <v>0</v>
      </c>
      <c r="O64" s="144">
        <f t="shared" si="20"/>
        <v>-481.9</v>
      </c>
      <c r="P64" s="144">
        <f t="shared" si="20"/>
        <v>-157.69999999999999</v>
      </c>
      <c r="Q64" s="144">
        <f t="shared" si="20"/>
        <v>0</v>
      </c>
      <c r="R64" s="144">
        <f t="shared" si="20"/>
        <v>-324.2</v>
      </c>
      <c r="S64" s="144">
        <f t="shared" si="20"/>
        <v>0</v>
      </c>
      <c r="T64" s="144">
        <f t="shared" si="20"/>
        <v>0</v>
      </c>
      <c r="U64" s="144">
        <f t="shared" si="20"/>
        <v>0</v>
      </c>
      <c r="V64" s="144">
        <f t="shared" si="20"/>
        <v>0</v>
      </c>
      <c r="W64" s="144">
        <f t="shared" si="20"/>
        <v>1001.2</v>
      </c>
    </row>
    <row r="65" spans="1:23" ht="12.6" customHeight="1" x14ac:dyDescent="0.2">
      <c r="A65" s="13">
        <v>20</v>
      </c>
      <c r="B65" s="16"/>
      <c r="C65" s="138" t="s">
        <v>534</v>
      </c>
      <c r="D65" s="16"/>
      <c r="E65" s="136">
        <f t="shared" si="9"/>
        <v>1348</v>
      </c>
      <c r="F65" s="136">
        <f t="shared" si="17"/>
        <v>1153.5</v>
      </c>
      <c r="G65" s="136">
        <f>+G66+G67+G68+G69</f>
        <v>180.8</v>
      </c>
      <c r="H65" s="136">
        <f>+H66+H67+H68+H69</f>
        <v>152.30000000000001</v>
      </c>
      <c r="I65" s="136">
        <f>+I66+I67+I68+I69</f>
        <v>0</v>
      </c>
      <c r="J65" s="136">
        <f>+J66+J67+J68+J69</f>
        <v>0</v>
      </c>
      <c r="K65" s="136">
        <f>+K66+K67+K68+K69</f>
        <v>1167.2</v>
      </c>
      <c r="L65" s="136">
        <f t="shared" ref="L65:W65" si="21">+L66+L67+L68+L69</f>
        <v>0</v>
      </c>
      <c r="M65" s="136">
        <f t="shared" si="21"/>
        <v>0</v>
      </c>
      <c r="N65" s="136">
        <f t="shared" si="21"/>
        <v>0</v>
      </c>
      <c r="O65" s="136">
        <f t="shared" si="21"/>
        <v>-481.9</v>
      </c>
      <c r="P65" s="136">
        <f t="shared" si="21"/>
        <v>-157.69999999999999</v>
      </c>
      <c r="Q65" s="136">
        <f t="shared" si="21"/>
        <v>0</v>
      </c>
      <c r="R65" s="136">
        <f t="shared" si="21"/>
        <v>-324.2</v>
      </c>
      <c r="S65" s="136">
        <f t="shared" si="21"/>
        <v>0</v>
      </c>
      <c r="T65" s="136">
        <f t="shared" si="21"/>
        <v>0</v>
      </c>
      <c r="U65" s="136">
        <f t="shared" si="21"/>
        <v>0</v>
      </c>
      <c r="V65" s="136">
        <f t="shared" si="21"/>
        <v>0</v>
      </c>
      <c r="W65" s="136">
        <f t="shared" si="21"/>
        <v>1001.2</v>
      </c>
    </row>
    <row r="66" spans="1:23" ht="29.25" customHeight="1" x14ac:dyDescent="0.2">
      <c r="A66" s="71" t="s">
        <v>581</v>
      </c>
      <c r="B66" s="16"/>
      <c r="C66" s="153" t="s">
        <v>434</v>
      </c>
      <c r="D66" s="16" t="s">
        <v>427</v>
      </c>
      <c r="E66" s="136">
        <f t="shared" si="9"/>
        <v>1070</v>
      </c>
      <c r="F66" s="136">
        <f t="shared" si="17"/>
        <v>962</v>
      </c>
      <c r="G66" s="136">
        <v>11.8</v>
      </c>
      <c r="H66" s="136">
        <v>7.4</v>
      </c>
      <c r="I66" s="136"/>
      <c r="J66" s="136"/>
      <c r="K66" s="136">
        <f>1391.4-333.2</f>
        <v>1058.2</v>
      </c>
      <c r="L66" s="22"/>
      <c r="O66" s="22">
        <f t="shared" si="2"/>
        <v>-333.2</v>
      </c>
      <c r="P66" s="22"/>
      <c r="Q66" s="22"/>
      <c r="R66" s="22">
        <v>-333.2</v>
      </c>
      <c r="S66" s="22">
        <f t="shared" si="3"/>
        <v>0</v>
      </c>
      <c r="T66" s="22"/>
      <c r="U66" s="22"/>
      <c r="V66" s="137"/>
      <c r="W66" s="76">
        <v>954.6</v>
      </c>
    </row>
    <row r="67" spans="1:23" ht="29.25" customHeight="1" x14ac:dyDescent="0.2">
      <c r="A67" s="71" t="s">
        <v>582</v>
      </c>
      <c r="B67" s="16"/>
      <c r="C67" s="153" t="s">
        <v>436</v>
      </c>
      <c r="D67" s="16" t="s">
        <v>424</v>
      </c>
      <c r="E67" s="136">
        <f t="shared" si="9"/>
        <v>139</v>
      </c>
      <c r="F67" s="136">
        <f t="shared" si="17"/>
        <v>138.4</v>
      </c>
      <c r="G67" s="136">
        <v>139</v>
      </c>
      <c r="H67" s="136">
        <v>138.4</v>
      </c>
      <c r="I67" s="136"/>
      <c r="J67" s="136"/>
      <c r="K67" s="136"/>
      <c r="L67" s="22"/>
      <c r="O67" s="22">
        <f t="shared" si="2"/>
        <v>0</v>
      </c>
      <c r="P67" s="22"/>
      <c r="Q67" s="22"/>
      <c r="R67" s="22"/>
      <c r="S67" s="22">
        <f t="shared" si="3"/>
        <v>0</v>
      </c>
      <c r="T67" s="22"/>
      <c r="U67" s="22"/>
      <c r="V67" s="137"/>
      <c r="W67" s="76"/>
    </row>
    <row r="68" spans="1:23" ht="19.149999999999999" customHeight="1" x14ac:dyDescent="0.2">
      <c r="A68" s="71" t="s">
        <v>583</v>
      </c>
      <c r="B68" s="16"/>
      <c r="C68" s="153" t="s">
        <v>438</v>
      </c>
      <c r="D68" s="16" t="s">
        <v>424</v>
      </c>
      <c r="E68" s="136">
        <f t="shared" si="9"/>
        <v>9</v>
      </c>
      <c r="F68" s="136">
        <f t="shared" si="17"/>
        <v>7.6</v>
      </c>
      <c r="G68" s="136">
        <f>157.7-157.7</f>
        <v>0</v>
      </c>
      <c r="H68" s="136">
        <v>0</v>
      </c>
      <c r="I68" s="136"/>
      <c r="J68" s="136"/>
      <c r="K68" s="136">
        <v>9</v>
      </c>
      <c r="L68" s="22"/>
      <c r="O68" s="22">
        <f t="shared" si="2"/>
        <v>-148.69999999999999</v>
      </c>
      <c r="P68" s="22">
        <f>-157.7</f>
        <v>-157.69999999999999</v>
      </c>
      <c r="Q68" s="22"/>
      <c r="R68" s="22">
        <v>9</v>
      </c>
      <c r="S68" s="22">
        <f t="shared" si="3"/>
        <v>0</v>
      </c>
      <c r="T68" s="22"/>
      <c r="U68" s="22"/>
      <c r="V68" s="137"/>
      <c r="W68" s="76">
        <v>7.6</v>
      </c>
    </row>
    <row r="69" spans="1:23" ht="25.5" x14ac:dyDescent="0.2">
      <c r="A69" s="71" t="s">
        <v>584</v>
      </c>
      <c r="B69" s="103"/>
      <c r="C69" s="45" t="s">
        <v>585</v>
      </c>
      <c r="D69" s="16" t="s">
        <v>424</v>
      </c>
      <c r="E69" s="136">
        <f t="shared" si="9"/>
        <v>130</v>
      </c>
      <c r="F69" s="136">
        <f t="shared" si="17"/>
        <v>45.5</v>
      </c>
      <c r="G69" s="17">
        <f>100-70</f>
        <v>30</v>
      </c>
      <c r="H69" s="17">
        <v>6.5</v>
      </c>
      <c r="I69" s="24"/>
      <c r="J69" s="24"/>
      <c r="K69" s="17">
        <f>30+70</f>
        <v>100</v>
      </c>
      <c r="O69" s="22">
        <f t="shared" si="2"/>
        <v>0</v>
      </c>
      <c r="P69" s="22"/>
      <c r="Q69" s="22"/>
      <c r="R69" s="22"/>
      <c r="S69" s="22">
        <f t="shared" si="3"/>
        <v>0</v>
      </c>
      <c r="T69" s="22"/>
      <c r="U69" s="22"/>
      <c r="V69" s="22"/>
      <c r="W69" s="148">
        <v>39</v>
      </c>
    </row>
    <row r="70" spans="1:23" x14ac:dyDescent="0.2">
      <c r="A70" s="24">
        <v>21</v>
      </c>
      <c r="B70" s="11" t="s">
        <v>462</v>
      </c>
      <c r="C70" s="51" t="s">
        <v>463</v>
      </c>
      <c r="D70" s="16"/>
      <c r="E70" s="144">
        <f t="shared" si="9"/>
        <v>17</v>
      </c>
      <c r="F70" s="144">
        <f t="shared" si="17"/>
        <v>17</v>
      </c>
      <c r="G70" s="155">
        <f>+G71</f>
        <v>17</v>
      </c>
      <c r="H70" s="155">
        <f>+H71</f>
        <v>17</v>
      </c>
      <c r="I70" s="155">
        <f t="shared" ref="I70:V71" si="22">+I71</f>
        <v>0</v>
      </c>
      <c r="J70" s="155">
        <f t="shared" si="22"/>
        <v>0</v>
      </c>
      <c r="K70" s="155">
        <f t="shared" si="22"/>
        <v>0</v>
      </c>
      <c r="L70" s="155">
        <f t="shared" si="22"/>
        <v>0</v>
      </c>
      <c r="M70" s="155">
        <f t="shared" si="22"/>
        <v>0</v>
      </c>
      <c r="N70" s="155">
        <f t="shared" si="22"/>
        <v>0</v>
      </c>
      <c r="O70" s="155">
        <f t="shared" si="22"/>
        <v>0</v>
      </c>
      <c r="P70" s="155">
        <f t="shared" si="22"/>
        <v>0</v>
      </c>
      <c r="Q70" s="155">
        <f t="shared" si="22"/>
        <v>0</v>
      </c>
      <c r="R70" s="155">
        <f t="shared" si="22"/>
        <v>0</v>
      </c>
      <c r="S70" s="155">
        <f t="shared" si="22"/>
        <v>0</v>
      </c>
      <c r="T70" s="155">
        <f t="shared" si="22"/>
        <v>0</v>
      </c>
      <c r="U70" s="155">
        <f t="shared" si="22"/>
        <v>0</v>
      </c>
      <c r="V70" s="155">
        <f t="shared" si="22"/>
        <v>0</v>
      </c>
      <c r="W70" s="155">
        <f>+W71</f>
        <v>0</v>
      </c>
    </row>
    <row r="71" spans="1:23" x14ac:dyDescent="0.2">
      <c r="A71" s="24">
        <v>22</v>
      </c>
      <c r="B71" s="103"/>
      <c r="C71" s="138" t="s">
        <v>534</v>
      </c>
      <c r="D71" s="16"/>
      <c r="E71" s="136">
        <f t="shared" si="9"/>
        <v>17</v>
      </c>
      <c r="F71" s="136">
        <f t="shared" si="17"/>
        <v>17</v>
      </c>
      <c r="G71" s="17">
        <f>+G72</f>
        <v>17</v>
      </c>
      <c r="H71" s="17">
        <f>+H72</f>
        <v>17</v>
      </c>
      <c r="I71" s="146">
        <f t="shared" si="22"/>
        <v>0</v>
      </c>
      <c r="J71" s="146">
        <f t="shared" si="22"/>
        <v>0</v>
      </c>
      <c r="K71" s="146">
        <f t="shared" si="22"/>
        <v>0</v>
      </c>
      <c r="L71" s="156"/>
      <c r="M71" s="156"/>
      <c r="N71" s="156"/>
      <c r="O71" s="157">
        <f t="shared" si="2"/>
        <v>0</v>
      </c>
      <c r="P71" s="157"/>
      <c r="Q71" s="157"/>
      <c r="R71" s="157"/>
      <c r="S71" s="157">
        <f t="shared" si="3"/>
        <v>0</v>
      </c>
      <c r="T71" s="157"/>
      <c r="U71" s="157"/>
      <c r="V71" s="157"/>
      <c r="W71" s="146">
        <f>+W72</f>
        <v>0</v>
      </c>
    </row>
    <row r="72" spans="1:23" ht="25.5" x14ac:dyDescent="0.2">
      <c r="A72" s="13" t="s">
        <v>586</v>
      </c>
      <c r="B72" s="103"/>
      <c r="C72" s="158" t="s">
        <v>484</v>
      </c>
      <c r="D72" s="16" t="s">
        <v>339</v>
      </c>
      <c r="E72" s="136">
        <f t="shared" si="9"/>
        <v>17</v>
      </c>
      <c r="F72" s="136">
        <f t="shared" si="17"/>
        <v>17</v>
      </c>
      <c r="G72" s="17">
        <f>117-107+7</f>
        <v>17</v>
      </c>
      <c r="H72" s="17">
        <v>17</v>
      </c>
      <c r="I72" s="24"/>
      <c r="J72" s="24"/>
      <c r="K72" s="17"/>
      <c r="O72" s="22">
        <f t="shared" si="2"/>
        <v>-170</v>
      </c>
      <c r="P72" s="22">
        <v>-107</v>
      </c>
      <c r="Q72" s="22"/>
      <c r="R72" s="22">
        <v>-63</v>
      </c>
      <c r="S72" s="22">
        <f t="shared" si="3"/>
        <v>7</v>
      </c>
      <c r="T72" s="22">
        <v>7</v>
      </c>
      <c r="U72" s="22"/>
      <c r="V72" s="22"/>
      <c r="W72" s="76"/>
    </row>
    <row r="73" spans="1:23" ht="15.75" customHeight="1" x14ac:dyDescent="0.2">
      <c r="A73" s="13">
        <v>23</v>
      </c>
      <c r="B73" s="16"/>
      <c r="C73" s="131" t="s">
        <v>491</v>
      </c>
      <c r="D73" s="16"/>
      <c r="E73" s="58">
        <f t="shared" si="9"/>
        <v>8970.3000000000011</v>
      </c>
      <c r="F73" s="58">
        <f t="shared" si="17"/>
        <v>6688.7</v>
      </c>
      <c r="G73" s="58">
        <f>+G13+G20+G25+G34+G38+G44+G56+G64+G70</f>
        <v>826.7</v>
      </c>
      <c r="H73" s="58">
        <f>+H13+H20+H25+H34+H38+H44+H56+H64+H70</f>
        <v>735.39999999999986</v>
      </c>
      <c r="I73" s="58">
        <f>+I13+I20+I25+I34+I38+I44+I56+I64+I70</f>
        <v>110.39999999999999</v>
      </c>
      <c r="J73" s="58">
        <f>+J13+J20+J25+J34+J38+J44+J56+J64+J70</f>
        <v>109.30000000000001</v>
      </c>
      <c r="K73" s="58">
        <f>+K13+K20+K25+K34+K38+K44+K56+K64+K70</f>
        <v>8143.6</v>
      </c>
      <c r="L73" s="58" t="e">
        <f t="shared" ref="L73:W73" si="23">+L13+L20+L25+L34+L38+L44+L56+L64+L70</f>
        <v>#VALUE!</v>
      </c>
      <c r="M73" s="58">
        <f t="shared" si="23"/>
        <v>120</v>
      </c>
      <c r="N73" s="58">
        <f t="shared" si="23"/>
        <v>120</v>
      </c>
      <c r="O73" s="58">
        <f t="shared" si="23"/>
        <v>-421.09999999999997</v>
      </c>
      <c r="P73" s="58">
        <f t="shared" si="23"/>
        <v>38.100000000000023</v>
      </c>
      <c r="Q73" s="58">
        <f t="shared" si="23"/>
        <v>211.2</v>
      </c>
      <c r="R73" s="58">
        <f t="shared" si="23"/>
        <v>-339.2</v>
      </c>
      <c r="S73" s="58">
        <f t="shared" si="23"/>
        <v>120</v>
      </c>
      <c r="T73" s="58">
        <f t="shared" si="23"/>
        <v>120</v>
      </c>
      <c r="U73" s="58">
        <f t="shared" si="23"/>
        <v>120</v>
      </c>
      <c r="V73" s="58">
        <f t="shared" si="23"/>
        <v>120</v>
      </c>
      <c r="W73" s="58">
        <f t="shared" si="23"/>
        <v>5953.3</v>
      </c>
    </row>
    <row r="74" spans="1:23" x14ac:dyDescent="0.2">
      <c r="C74" s="4" t="s">
        <v>492</v>
      </c>
      <c r="E74" s="96"/>
      <c r="F74" s="96"/>
      <c r="G74" s="96"/>
      <c r="H74" s="96"/>
      <c r="I74" s="96"/>
      <c r="J74" s="96"/>
      <c r="K74" s="96"/>
      <c r="L74" s="3"/>
    </row>
    <row r="75" spans="1:23" x14ac:dyDescent="0.2">
      <c r="D75" s="2"/>
      <c r="E75" s="96"/>
      <c r="F75" s="96"/>
      <c r="G75" s="96"/>
      <c r="H75" s="96"/>
      <c r="I75" s="96"/>
      <c r="J75" s="96"/>
      <c r="K75" s="96"/>
      <c r="L75" s="3"/>
      <c r="M75" s="22"/>
    </row>
    <row r="76" spans="1:23" hidden="1" x14ac:dyDescent="0.2">
      <c r="C76" s="1" t="s">
        <v>587</v>
      </c>
      <c r="D76" s="2"/>
      <c r="E76" s="96">
        <v>1345.5</v>
      </c>
      <c r="F76" s="96"/>
      <c r="G76" s="159">
        <v>0.4</v>
      </c>
      <c r="H76" s="159"/>
      <c r="I76" s="159"/>
      <c r="J76" s="159"/>
      <c r="K76" s="159"/>
      <c r="L76" s="3"/>
    </row>
    <row r="77" spans="1:23" hidden="1" x14ac:dyDescent="0.2">
      <c r="C77" s="1" t="s">
        <v>588</v>
      </c>
      <c r="E77" s="96">
        <f>+E73-E76-G76-G77</f>
        <v>7430.3000000000011</v>
      </c>
      <c r="F77" s="96"/>
      <c r="G77" s="159">
        <v>194.1</v>
      </c>
      <c r="H77" s="159"/>
      <c r="I77" s="159"/>
      <c r="J77" s="159"/>
      <c r="K77" s="159"/>
      <c r="L77" s="22"/>
      <c r="M77" s="22"/>
    </row>
    <row r="78" spans="1:23" hidden="1" x14ac:dyDescent="0.2">
      <c r="E78" s="160">
        <f>+E76+G76+E77+G77</f>
        <v>8970.3000000000011</v>
      </c>
      <c r="F78" s="160"/>
      <c r="G78" s="96"/>
      <c r="H78" s="96"/>
      <c r="I78" s="96"/>
      <c r="J78" s="96"/>
      <c r="K78" s="96"/>
      <c r="L78" s="22"/>
      <c r="M78" s="22"/>
    </row>
    <row r="79" spans="1:23" hidden="1" x14ac:dyDescent="0.2">
      <c r="C79" s="161"/>
      <c r="E79" s="96"/>
      <c r="F79" s="96"/>
      <c r="G79" s="159"/>
      <c r="H79" s="159"/>
    </row>
    <row r="80" spans="1:23" hidden="1" x14ac:dyDescent="0.2">
      <c r="E80" s="96"/>
      <c r="F80" s="96"/>
      <c r="G80" s="96"/>
      <c r="H80" s="96"/>
      <c r="I80" s="96"/>
      <c r="J80" s="96"/>
    </row>
    <row r="81" spans="3:12" hidden="1" x14ac:dyDescent="0.2">
      <c r="C81" s="1"/>
      <c r="D81" s="2"/>
      <c r="E81" s="96"/>
      <c r="F81" s="96"/>
      <c r="G81" s="96"/>
      <c r="H81" s="96"/>
      <c r="I81" s="96"/>
      <c r="J81" s="96"/>
      <c r="K81" s="96">
        <f>+K16+K17+K18+K19+K22+K27+K28+K29+K36+K37+K40+K41+K42+K43+K46+K47+K48+K49+K50+K51+K52+K58+K59+K60+K62+K63+K66+K67+K68+K69+K72</f>
        <v>7260.4999999999991</v>
      </c>
    </row>
    <row r="82" spans="3:12" hidden="1" x14ac:dyDescent="0.2">
      <c r="C82" s="1"/>
      <c r="D82" s="2"/>
      <c r="E82" s="96"/>
      <c r="F82" s="96"/>
      <c r="G82" s="96"/>
      <c r="H82" s="96"/>
      <c r="I82" s="96"/>
      <c r="J82" s="96"/>
    </row>
    <row r="83" spans="3:12" hidden="1" x14ac:dyDescent="0.2">
      <c r="E83" s="96">
        <f>+G83+K83</f>
        <v>9494.1999999999989</v>
      </c>
      <c r="F83" s="96"/>
      <c r="G83" s="96">
        <v>948.4</v>
      </c>
      <c r="H83" s="96"/>
      <c r="I83" s="96">
        <v>2.9</v>
      </c>
      <c r="J83" s="96"/>
      <c r="K83" s="96">
        <v>8545.7999999999993</v>
      </c>
    </row>
    <row r="84" spans="3:12" hidden="1" x14ac:dyDescent="0.2">
      <c r="E84" s="96">
        <f>+G84+K84</f>
        <v>-523.89999999999884</v>
      </c>
      <c r="F84" s="96"/>
      <c r="G84" s="96">
        <f>+G73-G83</f>
        <v>-121.69999999999993</v>
      </c>
      <c r="H84" s="96"/>
      <c r="I84" s="96">
        <f>+I73-I83</f>
        <v>107.49999999999999</v>
      </c>
      <c r="J84" s="96"/>
      <c r="K84" s="96">
        <f>+K73-K83</f>
        <v>-402.19999999999891</v>
      </c>
    </row>
    <row r="85" spans="3:12" hidden="1" x14ac:dyDescent="0.2">
      <c r="E85" s="96">
        <f>+G85+K85</f>
        <v>8963.3000000000011</v>
      </c>
      <c r="F85" s="96"/>
      <c r="G85" s="4">
        <v>819.7</v>
      </c>
      <c r="I85" s="4">
        <v>110.4</v>
      </c>
      <c r="K85" s="4">
        <v>8143.6</v>
      </c>
    </row>
    <row r="86" spans="3:12" hidden="1" x14ac:dyDescent="0.2">
      <c r="E86" s="96">
        <f>+G86+K86</f>
        <v>7</v>
      </c>
      <c r="F86" s="96"/>
      <c r="G86" s="96">
        <f>+G73-G85</f>
        <v>7</v>
      </c>
      <c r="H86" s="96"/>
      <c r="I86" s="96">
        <f>+I73-I85</f>
        <v>0</v>
      </c>
      <c r="J86" s="96"/>
      <c r="K86" s="96">
        <f>+K73-K85</f>
        <v>0</v>
      </c>
    </row>
    <row r="88" spans="3:12" x14ac:dyDescent="0.2">
      <c r="E88" s="96"/>
      <c r="F88" s="96"/>
      <c r="G88" s="96"/>
      <c r="H88" s="96"/>
      <c r="I88" s="96"/>
      <c r="J88" s="96"/>
      <c r="K88" s="96"/>
      <c r="L88" s="162"/>
    </row>
  </sheetData>
  <mergeCells count="29">
    <mergeCell ref="A32:A33"/>
    <mergeCell ref="B32:B33"/>
    <mergeCell ref="D32:D33"/>
    <mergeCell ref="A54:A55"/>
    <mergeCell ref="B54:B55"/>
    <mergeCell ref="D54:D55"/>
    <mergeCell ref="A23:A24"/>
    <mergeCell ref="B23:B24"/>
    <mergeCell ref="D23:D24"/>
    <mergeCell ref="A8:A11"/>
    <mergeCell ref="B8:B11"/>
    <mergeCell ref="C8:C11"/>
    <mergeCell ref="D8:D11"/>
    <mergeCell ref="C2:W2"/>
    <mergeCell ref="C1:W1"/>
    <mergeCell ref="G10:H10"/>
    <mergeCell ref="I10:J10"/>
    <mergeCell ref="K10:K11"/>
    <mergeCell ref="W10:W11"/>
    <mergeCell ref="E8:F9"/>
    <mergeCell ref="G8:W8"/>
    <mergeCell ref="G9:J9"/>
    <mergeCell ref="K9:W9"/>
    <mergeCell ref="E10:E11"/>
    <mergeCell ref="F10:F11"/>
    <mergeCell ref="C3:K3"/>
    <mergeCell ref="A6:K6"/>
    <mergeCell ref="I7:W7"/>
    <mergeCell ref="E4:W4"/>
  </mergeCells>
  <pageMargins left="0.31496062992125984" right="0.31496062992125984" top="0.35433070866141736" bottom="0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U124"/>
  <sheetViews>
    <sheetView workbookViewId="0">
      <selection activeCell="AA14" sqref="AA14"/>
    </sheetView>
  </sheetViews>
  <sheetFormatPr defaultColWidth="9.140625" defaultRowHeight="12.75" x14ac:dyDescent="0.2"/>
  <cols>
    <col min="1" max="1" width="4.85546875" style="4" customWidth="1"/>
    <col min="2" max="2" width="5.7109375" style="5" customWidth="1"/>
    <col min="3" max="3" width="51.5703125" style="161" customWidth="1"/>
    <col min="4" max="4" width="10.42578125" style="95" customWidth="1"/>
    <col min="5" max="5" width="7.5703125" style="1" customWidth="1"/>
    <col min="6" max="7" width="8.28515625" style="1" customWidth="1"/>
    <col min="8" max="10" width="8.140625" style="1" customWidth="1"/>
    <col min="11" max="11" width="7" style="1" customWidth="1"/>
    <col min="12" max="12" width="8.28515625" style="3" hidden="1" customWidth="1"/>
    <col min="13" max="20" width="9.140625" style="3" hidden="1" customWidth="1"/>
    <col min="21" max="256" width="9.140625" style="3"/>
    <col min="257" max="257" width="4.85546875" style="3" customWidth="1"/>
    <col min="258" max="258" width="5.42578125" style="3" customWidth="1"/>
    <col min="259" max="259" width="51.5703125" style="3" customWidth="1"/>
    <col min="260" max="260" width="10.42578125" style="3" customWidth="1"/>
    <col min="261" max="261" width="7.5703125" style="3" customWidth="1"/>
    <col min="262" max="263" width="8.28515625" style="3" customWidth="1"/>
    <col min="264" max="266" width="8.140625" style="3" customWidth="1"/>
    <col min="267" max="267" width="7" style="3" customWidth="1"/>
    <col min="268" max="276" width="0" style="3" hidden="1" customWidth="1"/>
    <col min="277" max="512" width="9.140625" style="3"/>
    <col min="513" max="513" width="4.85546875" style="3" customWidth="1"/>
    <col min="514" max="514" width="5.42578125" style="3" customWidth="1"/>
    <col min="515" max="515" width="51.5703125" style="3" customWidth="1"/>
    <col min="516" max="516" width="10.42578125" style="3" customWidth="1"/>
    <col min="517" max="517" width="7.5703125" style="3" customWidth="1"/>
    <col min="518" max="519" width="8.28515625" style="3" customWidth="1"/>
    <col min="520" max="522" width="8.140625" style="3" customWidth="1"/>
    <col min="523" max="523" width="7" style="3" customWidth="1"/>
    <col min="524" max="532" width="0" style="3" hidden="1" customWidth="1"/>
    <col min="533" max="768" width="9.140625" style="3"/>
    <col min="769" max="769" width="4.85546875" style="3" customWidth="1"/>
    <col min="770" max="770" width="5.42578125" style="3" customWidth="1"/>
    <col min="771" max="771" width="51.5703125" style="3" customWidth="1"/>
    <col min="772" max="772" width="10.42578125" style="3" customWidth="1"/>
    <col min="773" max="773" width="7.5703125" style="3" customWidth="1"/>
    <col min="774" max="775" width="8.28515625" style="3" customWidth="1"/>
    <col min="776" max="778" width="8.140625" style="3" customWidth="1"/>
    <col min="779" max="779" width="7" style="3" customWidth="1"/>
    <col min="780" max="788" width="0" style="3" hidden="1" customWidth="1"/>
    <col min="789" max="1024" width="9.140625" style="3"/>
    <col min="1025" max="1025" width="4.85546875" style="3" customWidth="1"/>
    <col min="1026" max="1026" width="5.42578125" style="3" customWidth="1"/>
    <col min="1027" max="1027" width="51.5703125" style="3" customWidth="1"/>
    <col min="1028" max="1028" width="10.42578125" style="3" customWidth="1"/>
    <col min="1029" max="1029" width="7.5703125" style="3" customWidth="1"/>
    <col min="1030" max="1031" width="8.28515625" style="3" customWidth="1"/>
    <col min="1032" max="1034" width="8.140625" style="3" customWidth="1"/>
    <col min="1035" max="1035" width="7" style="3" customWidth="1"/>
    <col min="1036" max="1044" width="0" style="3" hidden="1" customWidth="1"/>
    <col min="1045" max="1280" width="9.140625" style="3"/>
    <col min="1281" max="1281" width="4.85546875" style="3" customWidth="1"/>
    <col min="1282" max="1282" width="5.42578125" style="3" customWidth="1"/>
    <col min="1283" max="1283" width="51.5703125" style="3" customWidth="1"/>
    <col min="1284" max="1284" width="10.42578125" style="3" customWidth="1"/>
    <col min="1285" max="1285" width="7.5703125" style="3" customWidth="1"/>
    <col min="1286" max="1287" width="8.28515625" style="3" customWidth="1"/>
    <col min="1288" max="1290" width="8.140625" style="3" customWidth="1"/>
    <col min="1291" max="1291" width="7" style="3" customWidth="1"/>
    <col min="1292" max="1300" width="0" style="3" hidden="1" customWidth="1"/>
    <col min="1301" max="1536" width="9.140625" style="3"/>
    <col min="1537" max="1537" width="4.85546875" style="3" customWidth="1"/>
    <col min="1538" max="1538" width="5.42578125" style="3" customWidth="1"/>
    <col min="1539" max="1539" width="51.5703125" style="3" customWidth="1"/>
    <col min="1540" max="1540" width="10.42578125" style="3" customWidth="1"/>
    <col min="1541" max="1541" width="7.5703125" style="3" customWidth="1"/>
    <col min="1542" max="1543" width="8.28515625" style="3" customWidth="1"/>
    <col min="1544" max="1546" width="8.140625" style="3" customWidth="1"/>
    <col min="1547" max="1547" width="7" style="3" customWidth="1"/>
    <col min="1548" max="1556" width="0" style="3" hidden="1" customWidth="1"/>
    <col min="1557" max="1792" width="9.140625" style="3"/>
    <col min="1793" max="1793" width="4.85546875" style="3" customWidth="1"/>
    <col min="1794" max="1794" width="5.42578125" style="3" customWidth="1"/>
    <col min="1795" max="1795" width="51.5703125" style="3" customWidth="1"/>
    <col min="1796" max="1796" width="10.42578125" style="3" customWidth="1"/>
    <col min="1797" max="1797" width="7.5703125" style="3" customWidth="1"/>
    <col min="1798" max="1799" width="8.28515625" style="3" customWidth="1"/>
    <col min="1800" max="1802" width="8.140625" style="3" customWidth="1"/>
    <col min="1803" max="1803" width="7" style="3" customWidth="1"/>
    <col min="1804" max="1812" width="0" style="3" hidden="1" customWidth="1"/>
    <col min="1813" max="2048" width="9.140625" style="3"/>
    <col min="2049" max="2049" width="4.85546875" style="3" customWidth="1"/>
    <col min="2050" max="2050" width="5.42578125" style="3" customWidth="1"/>
    <col min="2051" max="2051" width="51.5703125" style="3" customWidth="1"/>
    <col min="2052" max="2052" width="10.42578125" style="3" customWidth="1"/>
    <col min="2053" max="2053" width="7.5703125" style="3" customWidth="1"/>
    <col min="2054" max="2055" width="8.28515625" style="3" customWidth="1"/>
    <col min="2056" max="2058" width="8.140625" style="3" customWidth="1"/>
    <col min="2059" max="2059" width="7" style="3" customWidth="1"/>
    <col min="2060" max="2068" width="0" style="3" hidden="1" customWidth="1"/>
    <col min="2069" max="2304" width="9.140625" style="3"/>
    <col min="2305" max="2305" width="4.85546875" style="3" customWidth="1"/>
    <col min="2306" max="2306" width="5.42578125" style="3" customWidth="1"/>
    <col min="2307" max="2307" width="51.5703125" style="3" customWidth="1"/>
    <col min="2308" max="2308" width="10.42578125" style="3" customWidth="1"/>
    <col min="2309" max="2309" width="7.5703125" style="3" customWidth="1"/>
    <col min="2310" max="2311" width="8.28515625" style="3" customWidth="1"/>
    <col min="2312" max="2314" width="8.140625" style="3" customWidth="1"/>
    <col min="2315" max="2315" width="7" style="3" customWidth="1"/>
    <col min="2316" max="2324" width="0" style="3" hidden="1" customWidth="1"/>
    <col min="2325" max="2560" width="9.140625" style="3"/>
    <col min="2561" max="2561" width="4.85546875" style="3" customWidth="1"/>
    <col min="2562" max="2562" width="5.42578125" style="3" customWidth="1"/>
    <col min="2563" max="2563" width="51.5703125" style="3" customWidth="1"/>
    <col min="2564" max="2564" width="10.42578125" style="3" customWidth="1"/>
    <col min="2565" max="2565" width="7.5703125" style="3" customWidth="1"/>
    <col min="2566" max="2567" width="8.28515625" style="3" customWidth="1"/>
    <col min="2568" max="2570" width="8.140625" style="3" customWidth="1"/>
    <col min="2571" max="2571" width="7" style="3" customWidth="1"/>
    <col min="2572" max="2580" width="0" style="3" hidden="1" customWidth="1"/>
    <col min="2581" max="2816" width="9.140625" style="3"/>
    <col min="2817" max="2817" width="4.85546875" style="3" customWidth="1"/>
    <col min="2818" max="2818" width="5.42578125" style="3" customWidth="1"/>
    <col min="2819" max="2819" width="51.5703125" style="3" customWidth="1"/>
    <col min="2820" max="2820" width="10.42578125" style="3" customWidth="1"/>
    <col min="2821" max="2821" width="7.5703125" style="3" customWidth="1"/>
    <col min="2822" max="2823" width="8.28515625" style="3" customWidth="1"/>
    <col min="2824" max="2826" width="8.140625" style="3" customWidth="1"/>
    <col min="2827" max="2827" width="7" style="3" customWidth="1"/>
    <col min="2828" max="2836" width="0" style="3" hidden="1" customWidth="1"/>
    <col min="2837" max="3072" width="9.140625" style="3"/>
    <col min="3073" max="3073" width="4.85546875" style="3" customWidth="1"/>
    <col min="3074" max="3074" width="5.42578125" style="3" customWidth="1"/>
    <col min="3075" max="3075" width="51.5703125" style="3" customWidth="1"/>
    <col min="3076" max="3076" width="10.42578125" style="3" customWidth="1"/>
    <col min="3077" max="3077" width="7.5703125" style="3" customWidth="1"/>
    <col min="3078" max="3079" width="8.28515625" style="3" customWidth="1"/>
    <col min="3080" max="3082" width="8.140625" style="3" customWidth="1"/>
    <col min="3083" max="3083" width="7" style="3" customWidth="1"/>
    <col min="3084" max="3092" width="0" style="3" hidden="1" customWidth="1"/>
    <col min="3093" max="3328" width="9.140625" style="3"/>
    <col min="3329" max="3329" width="4.85546875" style="3" customWidth="1"/>
    <col min="3330" max="3330" width="5.42578125" style="3" customWidth="1"/>
    <col min="3331" max="3331" width="51.5703125" style="3" customWidth="1"/>
    <col min="3332" max="3332" width="10.42578125" style="3" customWidth="1"/>
    <col min="3333" max="3333" width="7.5703125" style="3" customWidth="1"/>
    <col min="3334" max="3335" width="8.28515625" style="3" customWidth="1"/>
    <col min="3336" max="3338" width="8.140625" style="3" customWidth="1"/>
    <col min="3339" max="3339" width="7" style="3" customWidth="1"/>
    <col min="3340" max="3348" width="0" style="3" hidden="1" customWidth="1"/>
    <col min="3349" max="3584" width="9.140625" style="3"/>
    <col min="3585" max="3585" width="4.85546875" style="3" customWidth="1"/>
    <col min="3586" max="3586" width="5.42578125" style="3" customWidth="1"/>
    <col min="3587" max="3587" width="51.5703125" style="3" customWidth="1"/>
    <col min="3588" max="3588" width="10.42578125" style="3" customWidth="1"/>
    <col min="3589" max="3589" width="7.5703125" style="3" customWidth="1"/>
    <col min="3590" max="3591" width="8.28515625" style="3" customWidth="1"/>
    <col min="3592" max="3594" width="8.140625" style="3" customWidth="1"/>
    <col min="3595" max="3595" width="7" style="3" customWidth="1"/>
    <col min="3596" max="3604" width="0" style="3" hidden="1" customWidth="1"/>
    <col min="3605" max="3840" width="9.140625" style="3"/>
    <col min="3841" max="3841" width="4.85546875" style="3" customWidth="1"/>
    <col min="3842" max="3842" width="5.42578125" style="3" customWidth="1"/>
    <col min="3843" max="3843" width="51.5703125" style="3" customWidth="1"/>
    <col min="3844" max="3844" width="10.42578125" style="3" customWidth="1"/>
    <col min="3845" max="3845" width="7.5703125" style="3" customWidth="1"/>
    <col min="3846" max="3847" width="8.28515625" style="3" customWidth="1"/>
    <col min="3848" max="3850" width="8.140625" style="3" customWidth="1"/>
    <col min="3851" max="3851" width="7" style="3" customWidth="1"/>
    <col min="3852" max="3860" width="0" style="3" hidden="1" customWidth="1"/>
    <col min="3861" max="4096" width="9.140625" style="3"/>
    <col min="4097" max="4097" width="4.85546875" style="3" customWidth="1"/>
    <col min="4098" max="4098" width="5.42578125" style="3" customWidth="1"/>
    <col min="4099" max="4099" width="51.5703125" style="3" customWidth="1"/>
    <col min="4100" max="4100" width="10.42578125" style="3" customWidth="1"/>
    <col min="4101" max="4101" width="7.5703125" style="3" customWidth="1"/>
    <col min="4102" max="4103" width="8.28515625" style="3" customWidth="1"/>
    <col min="4104" max="4106" width="8.140625" style="3" customWidth="1"/>
    <col min="4107" max="4107" width="7" style="3" customWidth="1"/>
    <col min="4108" max="4116" width="0" style="3" hidden="1" customWidth="1"/>
    <col min="4117" max="4352" width="9.140625" style="3"/>
    <col min="4353" max="4353" width="4.85546875" style="3" customWidth="1"/>
    <col min="4354" max="4354" width="5.42578125" style="3" customWidth="1"/>
    <col min="4355" max="4355" width="51.5703125" style="3" customWidth="1"/>
    <col min="4356" max="4356" width="10.42578125" style="3" customWidth="1"/>
    <col min="4357" max="4357" width="7.5703125" style="3" customWidth="1"/>
    <col min="4358" max="4359" width="8.28515625" style="3" customWidth="1"/>
    <col min="4360" max="4362" width="8.140625" style="3" customWidth="1"/>
    <col min="4363" max="4363" width="7" style="3" customWidth="1"/>
    <col min="4364" max="4372" width="0" style="3" hidden="1" customWidth="1"/>
    <col min="4373" max="4608" width="9.140625" style="3"/>
    <col min="4609" max="4609" width="4.85546875" style="3" customWidth="1"/>
    <col min="4610" max="4610" width="5.42578125" style="3" customWidth="1"/>
    <col min="4611" max="4611" width="51.5703125" style="3" customWidth="1"/>
    <col min="4612" max="4612" width="10.42578125" style="3" customWidth="1"/>
    <col min="4613" max="4613" width="7.5703125" style="3" customWidth="1"/>
    <col min="4614" max="4615" width="8.28515625" style="3" customWidth="1"/>
    <col min="4616" max="4618" width="8.140625" style="3" customWidth="1"/>
    <col min="4619" max="4619" width="7" style="3" customWidth="1"/>
    <col min="4620" max="4628" width="0" style="3" hidden="1" customWidth="1"/>
    <col min="4629" max="4864" width="9.140625" style="3"/>
    <col min="4865" max="4865" width="4.85546875" style="3" customWidth="1"/>
    <col min="4866" max="4866" width="5.42578125" style="3" customWidth="1"/>
    <col min="4867" max="4867" width="51.5703125" style="3" customWidth="1"/>
    <col min="4868" max="4868" width="10.42578125" style="3" customWidth="1"/>
    <col min="4869" max="4869" width="7.5703125" style="3" customWidth="1"/>
    <col min="4870" max="4871" width="8.28515625" style="3" customWidth="1"/>
    <col min="4872" max="4874" width="8.140625" style="3" customWidth="1"/>
    <col min="4875" max="4875" width="7" style="3" customWidth="1"/>
    <col min="4876" max="4884" width="0" style="3" hidden="1" customWidth="1"/>
    <col min="4885" max="5120" width="9.140625" style="3"/>
    <col min="5121" max="5121" width="4.85546875" style="3" customWidth="1"/>
    <col min="5122" max="5122" width="5.42578125" style="3" customWidth="1"/>
    <col min="5123" max="5123" width="51.5703125" style="3" customWidth="1"/>
    <col min="5124" max="5124" width="10.42578125" style="3" customWidth="1"/>
    <col min="5125" max="5125" width="7.5703125" style="3" customWidth="1"/>
    <col min="5126" max="5127" width="8.28515625" style="3" customWidth="1"/>
    <col min="5128" max="5130" width="8.140625" style="3" customWidth="1"/>
    <col min="5131" max="5131" width="7" style="3" customWidth="1"/>
    <col min="5132" max="5140" width="0" style="3" hidden="1" customWidth="1"/>
    <col min="5141" max="5376" width="9.140625" style="3"/>
    <col min="5377" max="5377" width="4.85546875" style="3" customWidth="1"/>
    <col min="5378" max="5378" width="5.42578125" style="3" customWidth="1"/>
    <col min="5379" max="5379" width="51.5703125" style="3" customWidth="1"/>
    <col min="5380" max="5380" width="10.42578125" style="3" customWidth="1"/>
    <col min="5381" max="5381" width="7.5703125" style="3" customWidth="1"/>
    <col min="5382" max="5383" width="8.28515625" style="3" customWidth="1"/>
    <col min="5384" max="5386" width="8.140625" style="3" customWidth="1"/>
    <col min="5387" max="5387" width="7" style="3" customWidth="1"/>
    <col min="5388" max="5396" width="0" style="3" hidden="1" customWidth="1"/>
    <col min="5397" max="5632" width="9.140625" style="3"/>
    <col min="5633" max="5633" width="4.85546875" style="3" customWidth="1"/>
    <col min="5634" max="5634" width="5.42578125" style="3" customWidth="1"/>
    <col min="5635" max="5635" width="51.5703125" style="3" customWidth="1"/>
    <col min="5636" max="5636" width="10.42578125" style="3" customWidth="1"/>
    <col min="5637" max="5637" width="7.5703125" style="3" customWidth="1"/>
    <col min="5638" max="5639" width="8.28515625" style="3" customWidth="1"/>
    <col min="5640" max="5642" width="8.140625" style="3" customWidth="1"/>
    <col min="5643" max="5643" width="7" style="3" customWidth="1"/>
    <col min="5644" max="5652" width="0" style="3" hidden="1" customWidth="1"/>
    <col min="5653" max="5888" width="9.140625" style="3"/>
    <col min="5889" max="5889" width="4.85546875" style="3" customWidth="1"/>
    <col min="5890" max="5890" width="5.42578125" style="3" customWidth="1"/>
    <col min="5891" max="5891" width="51.5703125" style="3" customWidth="1"/>
    <col min="5892" max="5892" width="10.42578125" style="3" customWidth="1"/>
    <col min="5893" max="5893" width="7.5703125" style="3" customWidth="1"/>
    <col min="5894" max="5895" width="8.28515625" style="3" customWidth="1"/>
    <col min="5896" max="5898" width="8.140625" style="3" customWidth="1"/>
    <col min="5899" max="5899" width="7" style="3" customWidth="1"/>
    <col min="5900" max="5908" width="0" style="3" hidden="1" customWidth="1"/>
    <col min="5909" max="6144" width="9.140625" style="3"/>
    <col min="6145" max="6145" width="4.85546875" style="3" customWidth="1"/>
    <col min="6146" max="6146" width="5.42578125" style="3" customWidth="1"/>
    <col min="6147" max="6147" width="51.5703125" style="3" customWidth="1"/>
    <col min="6148" max="6148" width="10.42578125" style="3" customWidth="1"/>
    <col min="6149" max="6149" width="7.5703125" style="3" customWidth="1"/>
    <col min="6150" max="6151" width="8.28515625" style="3" customWidth="1"/>
    <col min="6152" max="6154" width="8.140625" style="3" customWidth="1"/>
    <col min="6155" max="6155" width="7" style="3" customWidth="1"/>
    <col min="6156" max="6164" width="0" style="3" hidden="1" customWidth="1"/>
    <col min="6165" max="6400" width="9.140625" style="3"/>
    <col min="6401" max="6401" width="4.85546875" style="3" customWidth="1"/>
    <col min="6402" max="6402" width="5.42578125" style="3" customWidth="1"/>
    <col min="6403" max="6403" width="51.5703125" style="3" customWidth="1"/>
    <col min="6404" max="6404" width="10.42578125" style="3" customWidth="1"/>
    <col min="6405" max="6405" width="7.5703125" style="3" customWidth="1"/>
    <col min="6406" max="6407" width="8.28515625" style="3" customWidth="1"/>
    <col min="6408" max="6410" width="8.140625" style="3" customWidth="1"/>
    <col min="6411" max="6411" width="7" style="3" customWidth="1"/>
    <col min="6412" max="6420" width="0" style="3" hidden="1" customWidth="1"/>
    <col min="6421" max="6656" width="9.140625" style="3"/>
    <col min="6657" max="6657" width="4.85546875" style="3" customWidth="1"/>
    <col min="6658" max="6658" width="5.42578125" style="3" customWidth="1"/>
    <col min="6659" max="6659" width="51.5703125" style="3" customWidth="1"/>
    <col min="6660" max="6660" width="10.42578125" style="3" customWidth="1"/>
    <col min="6661" max="6661" width="7.5703125" style="3" customWidth="1"/>
    <col min="6662" max="6663" width="8.28515625" style="3" customWidth="1"/>
    <col min="6664" max="6666" width="8.140625" style="3" customWidth="1"/>
    <col min="6667" max="6667" width="7" style="3" customWidth="1"/>
    <col min="6668" max="6676" width="0" style="3" hidden="1" customWidth="1"/>
    <col min="6677" max="6912" width="9.140625" style="3"/>
    <col min="6913" max="6913" width="4.85546875" style="3" customWidth="1"/>
    <col min="6914" max="6914" width="5.42578125" style="3" customWidth="1"/>
    <col min="6915" max="6915" width="51.5703125" style="3" customWidth="1"/>
    <col min="6916" max="6916" width="10.42578125" style="3" customWidth="1"/>
    <col min="6917" max="6917" width="7.5703125" style="3" customWidth="1"/>
    <col min="6918" max="6919" width="8.28515625" style="3" customWidth="1"/>
    <col min="6920" max="6922" width="8.140625" style="3" customWidth="1"/>
    <col min="6923" max="6923" width="7" style="3" customWidth="1"/>
    <col min="6924" max="6932" width="0" style="3" hidden="1" customWidth="1"/>
    <col min="6933" max="7168" width="9.140625" style="3"/>
    <col min="7169" max="7169" width="4.85546875" style="3" customWidth="1"/>
    <col min="7170" max="7170" width="5.42578125" style="3" customWidth="1"/>
    <col min="7171" max="7171" width="51.5703125" style="3" customWidth="1"/>
    <col min="7172" max="7172" width="10.42578125" style="3" customWidth="1"/>
    <col min="7173" max="7173" width="7.5703125" style="3" customWidth="1"/>
    <col min="7174" max="7175" width="8.28515625" style="3" customWidth="1"/>
    <col min="7176" max="7178" width="8.140625" style="3" customWidth="1"/>
    <col min="7179" max="7179" width="7" style="3" customWidth="1"/>
    <col min="7180" max="7188" width="0" style="3" hidden="1" customWidth="1"/>
    <col min="7189" max="7424" width="9.140625" style="3"/>
    <col min="7425" max="7425" width="4.85546875" style="3" customWidth="1"/>
    <col min="7426" max="7426" width="5.42578125" style="3" customWidth="1"/>
    <col min="7427" max="7427" width="51.5703125" style="3" customWidth="1"/>
    <col min="7428" max="7428" width="10.42578125" style="3" customWidth="1"/>
    <col min="7429" max="7429" width="7.5703125" style="3" customWidth="1"/>
    <col min="7430" max="7431" width="8.28515625" style="3" customWidth="1"/>
    <col min="7432" max="7434" width="8.140625" style="3" customWidth="1"/>
    <col min="7435" max="7435" width="7" style="3" customWidth="1"/>
    <col min="7436" max="7444" width="0" style="3" hidden="1" customWidth="1"/>
    <col min="7445" max="7680" width="9.140625" style="3"/>
    <col min="7681" max="7681" width="4.85546875" style="3" customWidth="1"/>
    <col min="7682" max="7682" width="5.42578125" style="3" customWidth="1"/>
    <col min="7683" max="7683" width="51.5703125" style="3" customWidth="1"/>
    <col min="7684" max="7684" width="10.42578125" style="3" customWidth="1"/>
    <col min="7685" max="7685" width="7.5703125" style="3" customWidth="1"/>
    <col min="7686" max="7687" width="8.28515625" style="3" customWidth="1"/>
    <col min="7688" max="7690" width="8.140625" style="3" customWidth="1"/>
    <col min="7691" max="7691" width="7" style="3" customWidth="1"/>
    <col min="7692" max="7700" width="0" style="3" hidden="1" customWidth="1"/>
    <col min="7701" max="7936" width="9.140625" style="3"/>
    <col min="7937" max="7937" width="4.85546875" style="3" customWidth="1"/>
    <col min="7938" max="7938" width="5.42578125" style="3" customWidth="1"/>
    <col min="7939" max="7939" width="51.5703125" style="3" customWidth="1"/>
    <col min="7940" max="7940" width="10.42578125" style="3" customWidth="1"/>
    <col min="7941" max="7941" width="7.5703125" style="3" customWidth="1"/>
    <col min="7942" max="7943" width="8.28515625" style="3" customWidth="1"/>
    <col min="7944" max="7946" width="8.140625" style="3" customWidth="1"/>
    <col min="7947" max="7947" width="7" style="3" customWidth="1"/>
    <col min="7948" max="7956" width="0" style="3" hidden="1" customWidth="1"/>
    <col min="7957" max="8192" width="9.140625" style="3"/>
    <col min="8193" max="8193" width="4.85546875" style="3" customWidth="1"/>
    <col min="8194" max="8194" width="5.42578125" style="3" customWidth="1"/>
    <col min="8195" max="8195" width="51.5703125" style="3" customWidth="1"/>
    <col min="8196" max="8196" width="10.42578125" style="3" customWidth="1"/>
    <col min="8197" max="8197" width="7.5703125" style="3" customWidth="1"/>
    <col min="8198" max="8199" width="8.28515625" style="3" customWidth="1"/>
    <col min="8200" max="8202" width="8.140625" style="3" customWidth="1"/>
    <col min="8203" max="8203" width="7" style="3" customWidth="1"/>
    <col min="8204" max="8212" width="0" style="3" hidden="1" customWidth="1"/>
    <col min="8213" max="8448" width="9.140625" style="3"/>
    <col min="8449" max="8449" width="4.85546875" style="3" customWidth="1"/>
    <col min="8450" max="8450" width="5.42578125" style="3" customWidth="1"/>
    <col min="8451" max="8451" width="51.5703125" style="3" customWidth="1"/>
    <col min="8452" max="8452" width="10.42578125" style="3" customWidth="1"/>
    <col min="8453" max="8453" width="7.5703125" style="3" customWidth="1"/>
    <col min="8454" max="8455" width="8.28515625" style="3" customWidth="1"/>
    <col min="8456" max="8458" width="8.140625" style="3" customWidth="1"/>
    <col min="8459" max="8459" width="7" style="3" customWidth="1"/>
    <col min="8460" max="8468" width="0" style="3" hidden="1" customWidth="1"/>
    <col min="8469" max="8704" width="9.140625" style="3"/>
    <col min="8705" max="8705" width="4.85546875" style="3" customWidth="1"/>
    <col min="8706" max="8706" width="5.42578125" style="3" customWidth="1"/>
    <col min="8707" max="8707" width="51.5703125" style="3" customWidth="1"/>
    <col min="8708" max="8708" width="10.42578125" style="3" customWidth="1"/>
    <col min="8709" max="8709" width="7.5703125" style="3" customWidth="1"/>
    <col min="8710" max="8711" width="8.28515625" style="3" customWidth="1"/>
    <col min="8712" max="8714" width="8.140625" style="3" customWidth="1"/>
    <col min="8715" max="8715" width="7" style="3" customWidth="1"/>
    <col min="8716" max="8724" width="0" style="3" hidden="1" customWidth="1"/>
    <col min="8725" max="8960" width="9.140625" style="3"/>
    <col min="8961" max="8961" width="4.85546875" style="3" customWidth="1"/>
    <col min="8962" max="8962" width="5.42578125" style="3" customWidth="1"/>
    <col min="8963" max="8963" width="51.5703125" style="3" customWidth="1"/>
    <col min="8964" max="8964" width="10.42578125" style="3" customWidth="1"/>
    <col min="8965" max="8965" width="7.5703125" style="3" customWidth="1"/>
    <col min="8966" max="8967" width="8.28515625" style="3" customWidth="1"/>
    <col min="8968" max="8970" width="8.140625" style="3" customWidth="1"/>
    <col min="8971" max="8971" width="7" style="3" customWidth="1"/>
    <col min="8972" max="8980" width="0" style="3" hidden="1" customWidth="1"/>
    <col min="8981" max="9216" width="9.140625" style="3"/>
    <col min="9217" max="9217" width="4.85546875" style="3" customWidth="1"/>
    <col min="9218" max="9218" width="5.42578125" style="3" customWidth="1"/>
    <col min="9219" max="9219" width="51.5703125" style="3" customWidth="1"/>
    <col min="9220" max="9220" width="10.42578125" style="3" customWidth="1"/>
    <col min="9221" max="9221" width="7.5703125" style="3" customWidth="1"/>
    <col min="9222" max="9223" width="8.28515625" style="3" customWidth="1"/>
    <col min="9224" max="9226" width="8.140625" style="3" customWidth="1"/>
    <col min="9227" max="9227" width="7" style="3" customWidth="1"/>
    <col min="9228" max="9236" width="0" style="3" hidden="1" customWidth="1"/>
    <col min="9237" max="9472" width="9.140625" style="3"/>
    <col min="9473" max="9473" width="4.85546875" style="3" customWidth="1"/>
    <col min="9474" max="9474" width="5.42578125" style="3" customWidth="1"/>
    <col min="9475" max="9475" width="51.5703125" style="3" customWidth="1"/>
    <col min="9476" max="9476" width="10.42578125" style="3" customWidth="1"/>
    <col min="9477" max="9477" width="7.5703125" style="3" customWidth="1"/>
    <col min="9478" max="9479" width="8.28515625" style="3" customWidth="1"/>
    <col min="9480" max="9482" width="8.140625" style="3" customWidth="1"/>
    <col min="9483" max="9483" width="7" style="3" customWidth="1"/>
    <col min="9484" max="9492" width="0" style="3" hidden="1" customWidth="1"/>
    <col min="9493" max="9728" width="9.140625" style="3"/>
    <col min="9729" max="9729" width="4.85546875" style="3" customWidth="1"/>
    <col min="9730" max="9730" width="5.42578125" style="3" customWidth="1"/>
    <col min="9731" max="9731" width="51.5703125" style="3" customWidth="1"/>
    <col min="9732" max="9732" width="10.42578125" style="3" customWidth="1"/>
    <col min="9733" max="9733" width="7.5703125" style="3" customWidth="1"/>
    <col min="9734" max="9735" width="8.28515625" style="3" customWidth="1"/>
    <col min="9736" max="9738" width="8.140625" style="3" customWidth="1"/>
    <col min="9739" max="9739" width="7" style="3" customWidth="1"/>
    <col min="9740" max="9748" width="0" style="3" hidden="1" customWidth="1"/>
    <col min="9749" max="9984" width="9.140625" style="3"/>
    <col min="9985" max="9985" width="4.85546875" style="3" customWidth="1"/>
    <col min="9986" max="9986" width="5.42578125" style="3" customWidth="1"/>
    <col min="9987" max="9987" width="51.5703125" style="3" customWidth="1"/>
    <col min="9988" max="9988" width="10.42578125" style="3" customWidth="1"/>
    <col min="9989" max="9989" width="7.5703125" style="3" customWidth="1"/>
    <col min="9990" max="9991" width="8.28515625" style="3" customWidth="1"/>
    <col min="9992" max="9994" width="8.140625" style="3" customWidth="1"/>
    <col min="9995" max="9995" width="7" style="3" customWidth="1"/>
    <col min="9996" max="10004" width="0" style="3" hidden="1" customWidth="1"/>
    <col min="10005" max="10240" width="9.140625" style="3"/>
    <col min="10241" max="10241" width="4.85546875" style="3" customWidth="1"/>
    <col min="10242" max="10242" width="5.42578125" style="3" customWidth="1"/>
    <col min="10243" max="10243" width="51.5703125" style="3" customWidth="1"/>
    <col min="10244" max="10244" width="10.42578125" style="3" customWidth="1"/>
    <col min="10245" max="10245" width="7.5703125" style="3" customWidth="1"/>
    <col min="10246" max="10247" width="8.28515625" style="3" customWidth="1"/>
    <col min="10248" max="10250" width="8.140625" style="3" customWidth="1"/>
    <col min="10251" max="10251" width="7" style="3" customWidth="1"/>
    <col min="10252" max="10260" width="0" style="3" hidden="1" customWidth="1"/>
    <col min="10261" max="10496" width="9.140625" style="3"/>
    <col min="10497" max="10497" width="4.85546875" style="3" customWidth="1"/>
    <col min="10498" max="10498" width="5.42578125" style="3" customWidth="1"/>
    <col min="10499" max="10499" width="51.5703125" style="3" customWidth="1"/>
    <col min="10500" max="10500" width="10.42578125" style="3" customWidth="1"/>
    <col min="10501" max="10501" width="7.5703125" style="3" customWidth="1"/>
    <col min="10502" max="10503" width="8.28515625" style="3" customWidth="1"/>
    <col min="10504" max="10506" width="8.140625" style="3" customWidth="1"/>
    <col min="10507" max="10507" width="7" style="3" customWidth="1"/>
    <col min="10508" max="10516" width="0" style="3" hidden="1" customWidth="1"/>
    <col min="10517" max="10752" width="9.140625" style="3"/>
    <col min="10753" max="10753" width="4.85546875" style="3" customWidth="1"/>
    <col min="10754" max="10754" width="5.42578125" style="3" customWidth="1"/>
    <col min="10755" max="10755" width="51.5703125" style="3" customWidth="1"/>
    <col min="10756" max="10756" width="10.42578125" style="3" customWidth="1"/>
    <col min="10757" max="10757" width="7.5703125" style="3" customWidth="1"/>
    <col min="10758" max="10759" width="8.28515625" style="3" customWidth="1"/>
    <col min="10760" max="10762" width="8.140625" style="3" customWidth="1"/>
    <col min="10763" max="10763" width="7" style="3" customWidth="1"/>
    <col min="10764" max="10772" width="0" style="3" hidden="1" customWidth="1"/>
    <col min="10773" max="11008" width="9.140625" style="3"/>
    <col min="11009" max="11009" width="4.85546875" style="3" customWidth="1"/>
    <col min="11010" max="11010" width="5.42578125" style="3" customWidth="1"/>
    <col min="11011" max="11011" width="51.5703125" style="3" customWidth="1"/>
    <col min="11012" max="11012" width="10.42578125" style="3" customWidth="1"/>
    <col min="11013" max="11013" width="7.5703125" style="3" customWidth="1"/>
    <col min="11014" max="11015" width="8.28515625" style="3" customWidth="1"/>
    <col min="11016" max="11018" width="8.140625" style="3" customWidth="1"/>
    <col min="11019" max="11019" width="7" style="3" customWidth="1"/>
    <col min="11020" max="11028" width="0" style="3" hidden="1" customWidth="1"/>
    <col min="11029" max="11264" width="9.140625" style="3"/>
    <col min="11265" max="11265" width="4.85546875" style="3" customWidth="1"/>
    <col min="11266" max="11266" width="5.42578125" style="3" customWidth="1"/>
    <col min="11267" max="11267" width="51.5703125" style="3" customWidth="1"/>
    <col min="11268" max="11268" width="10.42578125" style="3" customWidth="1"/>
    <col min="11269" max="11269" width="7.5703125" style="3" customWidth="1"/>
    <col min="11270" max="11271" width="8.28515625" style="3" customWidth="1"/>
    <col min="11272" max="11274" width="8.140625" style="3" customWidth="1"/>
    <col min="11275" max="11275" width="7" style="3" customWidth="1"/>
    <col min="11276" max="11284" width="0" style="3" hidden="1" customWidth="1"/>
    <col min="11285" max="11520" width="9.140625" style="3"/>
    <col min="11521" max="11521" width="4.85546875" style="3" customWidth="1"/>
    <col min="11522" max="11522" width="5.42578125" style="3" customWidth="1"/>
    <col min="11523" max="11523" width="51.5703125" style="3" customWidth="1"/>
    <col min="11524" max="11524" width="10.42578125" style="3" customWidth="1"/>
    <col min="11525" max="11525" width="7.5703125" style="3" customWidth="1"/>
    <col min="11526" max="11527" width="8.28515625" style="3" customWidth="1"/>
    <col min="11528" max="11530" width="8.140625" style="3" customWidth="1"/>
    <col min="11531" max="11531" width="7" style="3" customWidth="1"/>
    <col min="11532" max="11540" width="0" style="3" hidden="1" customWidth="1"/>
    <col min="11541" max="11776" width="9.140625" style="3"/>
    <col min="11777" max="11777" width="4.85546875" style="3" customWidth="1"/>
    <col min="11778" max="11778" width="5.42578125" style="3" customWidth="1"/>
    <col min="11779" max="11779" width="51.5703125" style="3" customWidth="1"/>
    <col min="11780" max="11780" width="10.42578125" style="3" customWidth="1"/>
    <col min="11781" max="11781" width="7.5703125" style="3" customWidth="1"/>
    <col min="11782" max="11783" width="8.28515625" style="3" customWidth="1"/>
    <col min="11784" max="11786" width="8.140625" style="3" customWidth="1"/>
    <col min="11787" max="11787" width="7" style="3" customWidth="1"/>
    <col min="11788" max="11796" width="0" style="3" hidden="1" customWidth="1"/>
    <col min="11797" max="12032" width="9.140625" style="3"/>
    <col min="12033" max="12033" width="4.85546875" style="3" customWidth="1"/>
    <col min="12034" max="12034" width="5.42578125" style="3" customWidth="1"/>
    <col min="12035" max="12035" width="51.5703125" style="3" customWidth="1"/>
    <col min="12036" max="12036" width="10.42578125" style="3" customWidth="1"/>
    <col min="12037" max="12037" width="7.5703125" style="3" customWidth="1"/>
    <col min="12038" max="12039" width="8.28515625" style="3" customWidth="1"/>
    <col min="12040" max="12042" width="8.140625" style="3" customWidth="1"/>
    <col min="12043" max="12043" width="7" style="3" customWidth="1"/>
    <col min="12044" max="12052" width="0" style="3" hidden="1" customWidth="1"/>
    <col min="12053" max="12288" width="9.140625" style="3"/>
    <col min="12289" max="12289" width="4.85546875" style="3" customWidth="1"/>
    <col min="12290" max="12290" width="5.42578125" style="3" customWidth="1"/>
    <col min="12291" max="12291" width="51.5703125" style="3" customWidth="1"/>
    <col min="12292" max="12292" width="10.42578125" style="3" customWidth="1"/>
    <col min="12293" max="12293" width="7.5703125" style="3" customWidth="1"/>
    <col min="12294" max="12295" width="8.28515625" style="3" customWidth="1"/>
    <col min="12296" max="12298" width="8.140625" style="3" customWidth="1"/>
    <col min="12299" max="12299" width="7" style="3" customWidth="1"/>
    <col min="12300" max="12308" width="0" style="3" hidden="1" customWidth="1"/>
    <col min="12309" max="12544" width="9.140625" style="3"/>
    <col min="12545" max="12545" width="4.85546875" style="3" customWidth="1"/>
    <col min="12546" max="12546" width="5.42578125" style="3" customWidth="1"/>
    <col min="12547" max="12547" width="51.5703125" style="3" customWidth="1"/>
    <col min="12548" max="12548" width="10.42578125" style="3" customWidth="1"/>
    <col min="12549" max="12549" width="7.5703125" style="3" customWidth="1"/>
    <col min="12550" max="12551" width="8.28515625" style="3" customWidth="1"/>
    <col min="12552" max="12554" width="8.140625" style="3" customWidth="1"/>
    <col min="12555" max="12555" width="7" style="3" customWidth="1"/>
    <col min="12556" max="12564" width="0" style="3" hidden="1" customWidth="1"/>
    <col min="12565" max="12800" width="9.140625" style="3"/>
    <col min="12801" max="12801" width="4.85546875" style="3" customWidth="1"/>
    <col min="12802" max="12802" width="5.42578125" style="3" customWidth="1"/>
    <col min="12803" max="12803" width="51.5703125" style="3" customWidth="1"/>
    <col min="12804" max="12804" width="10.42578125" style="3" customWidth="1"/>
    <col min="12805" max="12805" width="7.5703125" style="3" customWidth="1"/>
    <col min="12806" max="12807" width="8.28515625" style="3" customWidth="1"/>
    <col min="12808" max="12810" width="8.140625" style="3" customWidth="1"/>
    <col min="12811" max="12811" width="7" style="3" customWidth="1"/>
    <col min="12812" max="12820" width="0" style="3" hidden="1" customWidth="1"/>
    <col min="12821" max="13056" width="9.140625" style="3"/>
    <col min="13057" max="13057" width="4.85546875" style="3" customWidth="1"/>
    <col min="13058" max="13058" width="5.42578125" style="3" customWidth="1"/>
    <col min="13059" max="13059" width="51.5703125" style="3" customWidth="1"/>
    <col min="13060" max="13060" width="10.42578125" style="3" customWidth="1"/>
    <col min="13061" max="13061" width="7.5703125" style="3" customWidth="1"/>
    <col min="13062" max="13063" width="8.28515625" style="3" customWidth="1"/>
    <col min="13064" max="13066" width="8.140625" style="3" customWidth="1"/>
    <col min="13067" max="13067" width="7" style="3" customWidth="1"/>
    <col min="13068" max="13076" width="0" style="3" hidden="1" customWidth="1"/>
    <col min="13077" max="13312" width="9.140625" style="3"/>
    <col min="13313" max="13313" width="4.85546875" style="3" customWidth="1"/>
    <col min="13314" max="13314" width="5.42578125" style="3" customWidth="1"/>
    <col min="13315" max="13315" width="51.5703125" style="3" customWidth="1"/>
    <col min="13316" max="13316" width="10.42578125" style="3" customWidth="1"/>
    <col min="13317" max="13317" width="7.5703125" style="3" customWidth="1"/>
    <col min="13318" max="13319" width="8.28515625" style="3" customWidth="1"/>
    <col min="13320" max="13322" width="8.140625" style="3" customWidth="1"/>
    <col min="13323" max="13323" width="7" style="3" customWidth="1"/>
    <col min="13324" max="13332" width="0" style="3" hidden="1" customWidth="1"/>
    <col min="13333" max="13568" width="9.140625" style="3"/>
    <col min="13569" max="13569" width="4.85546875" style="3" customWidth="1"/>
    <col min="13570" max="13570" width="5.42578125" style="3" customWidth="1"/>
    <col min="13571" max="13571" width="51.5703125" style="3" customWidth="1"/>
    <col min="13572" max="13572" width="10.42578125" style="3" customWidth="1"/>
    <col min="13573" max="13573" width="7.5703125" style="3" customWidth="1"/>
    <col min="13574" max="13575" width="8.28515625" style="3" customWidth="1"/>
    <col min="13576" max="13578" width="8.140625" style="3" customWidth="1"/>
    <col min="13579" max="13579" width="7" style="3" customWidth="1"/>
    <col min="13580" max="13588" width="0" style="3" hidden="1" customWidth="1"/>
    <col min="13589" max="13824" width="9.140625" style="3"/>
    <col min="13825" max="13825" width="4.85546875" style="3" customWidth="1"/>
    <col min="13826" max="13826" width="5.42578125" style="3" customWidth="1"/>
    <col min="13827" max="13827" width="51.5703125" style="3" customWidth="1"/>
    <col min="13828" max="13828" width="10.42578125" style="3" customWidth="1"/>
    <col min="13829" max="13829" width="7.5703125" style="3" customWidth="1"/>
    <col min="13830" max="13831" width="8.28515625" style="3" customWidth="1"/>
    <col min="13832" max="13834" width="8.140625" style="3" customWidth="1"/>
    <col min="13835" max="13835" width="7" style="3" customWidth="1"/>
    <col min="13836" max="13844" width="0" style="3" hidden="1" customWidth="1"/>
    <col min="13845" max="14080" width="9.140625" style="3"/>
    <col min="14081" max="14081" width="4.85546875" style="3" customWidth="1"/>
    <col min="14082" max="14082" width="5.42578125" style="3" customWidth="1"/>
    <col min="14083" max="14083" width="51.5703125" style="3" customWidth="1"/>
    <col min="14084" max="14084" width="10.42578125" style="3" customWidth="1"/>
    <col min="14085" max="14085" width="7.5703125" style="3" customWidth="1"/>
    <col min="14086" max="14087" width="8.28515625" style="3" customWidth="1"/>
    <col min="14088" max="14090" width="8.140625" style="3" customWidth="1"/>
    <col min="14091" max="14091" width="7" style="3" customWidth="1"/>
    <col min="14092" max="14100" width="0" style="3" hidden="1" customWidth="1"/>
    <col min="14101" max="14336" width="9.140625" style="3"/>
    <col min="14337" max="14337" width="4.85546875" style="3" customWidth="1"/>
    <col min="14338" max="14338" width="5.42578125" style="3" customWidth="1"/>
    <col min="14339" max="14339" width="51.5703125" style="3" customWidth="1"/>
    <col min="14340" max="14340" width="10.42578125" style="3" customWidth="1"/>
    <col min="14341" max="14341" width="7.5703125" style="3" customWidth="1"/>
    <col min="14342" max="14343" width="8.28515625" style="3" customWidth="1"/>
    <col min="14344" max="14346" width="8.140625" style="3" customWidth="1"/>
    <col min="14347" max="14347" width="7" style="3" customWidth="1"/>
    <col min="14348" max="14356" width="0" style="3" hidden="1" customWidth="1"/>
    <col min="14357" max="14592" width="9.140625" style="3"/>
    <col min="14593" max="14593" width="4.85546875" style="3" customWidth="1"/>
    <col min="14594" max="14594" width="5.42578125" style="3" customWidth="1"/>
    <col min="14595" max="14595" width="51.5703125" style="3" customWidth="1"/>
    <col min="14596" max="14596" width="10.42578125" style="3" customWidth="1"/>
    <col min="14597" max="14597" width="7.5703125" style="3" customWidth="1"/>
    <col min="14598" max="14599" width="8.28515625" style="3" customWidth="1"/>
    <col min="14600" max="14602" width="8.140625" style="3" customWidth="1"/>
    <col min="14603" max="14603" width="7" style="3" customWidth="1"/>
    <col min="14604" max="14612" width="0" style="3" hidden="1" customWidth="1"/>
    <col min="14613" max="14848" width="9.140625" style="3"/>
    <col min="14849" max="14849" width="4.85546875" style="3" customWidth="1"/>
    <col min="14850" max="14850" width="5.42578125" style="3" customWidth="1"/>
    <col min="14851" max="14851" width="51.5703125" style="3" customWidth="1"/>
    <col min="14852" max="14852" width="10.42578125" style="3" customWidth="1"/>
    <col min="14853" max="14853" width="7.5703125" style="3" customWidth="1"/>
    <col min="14854" max="14855" width="8.28515625" style="3" customWidth="1"/>
    <col min="14856" max="14858" width="8.140625" style="3" customWidth="1"/>
    <col min="14859" max="14859" width="7" style="3" customWidth="1"/>
    <col min="14860" max="14868" width="0" style="3" hidden="1" customWidth="1"/>
    <col min="14869" max="15104" width="9.140625" style="3"/>
    <col min="15105" max="15105" width="4.85546875" style="3" customWidth="1"/>
    <col min="15106" max="15106" width="5.42578125" style="3" customWidth="1"/>
    <col min="15107" max="15107" width="51.5703125" style="3" customWidth="1"/>
    <col min="15108" max="15108" width="10.42578125" style="3" customWidth="1"/>
    <col min="15109" max="15109" width="7.5703125" style="3" customWidth="1"/>
    <col min="15110" max="15111" width="8.28515625" style="3" customWidth="1"/>
    <col min="15112" max="15114" width="8.140625" style="3" customWidth="1"/>
    <col min="15115" max="15115" width="7" style="3" customWidth="1"/>
    <col min="15116" max="15124" width="0" style="3" hidden="1" customWidth="1"/>
    <col min="15125" max="15360" width="9.140625" style="3"/>
    <col min="15361" max="15361" width="4.85546875" style="3" customWidth="1"/>
    <col min="15362" max="15362" width="5.42578125" style="3" customWidth="1"/>
    <col min="15363" max="15363" width="51.5703125" style="3" customWidth="1"/>
    <col min="15364" max="15364" width="10.42578125" style="3" customWidth="1"/>
    <col min="15365" max="15365" width="7.5703125" style="3" customWidth="1"/>
    <col min="15366" max="15367" width="8.28515625" style="3" customWidth="1"/>
    <col min="15368" max="15370" width="8.140625" style="3" customWidth="1"/>
    <col min="15371" max="15371" width="7" style="3" customWidth="1"/>
    <col min="15372" max="15380" width="0" style="3" hidden="1" customWidth="1"/>
    <col min="15381" max="15616" width="9.140625" style="3"/>
    <col min="15617" max="15617" width="4.85546875" style="3" customWidth="1"/>
    <col min="15618" max="15618" width="5.42578125" style="3" customWidth="1"/>
    <col min="15619" max="15619" width="51.5703125" style="3" customWidth="1"/>
    <col min="15620" max="15620" width="10.42578125" style="3" customWidth="1"/>
    <col min="15621" max="15621" width="7.5703125" style="3" customWidth="1"/>
    <col min="15622" max="15623" width="8.28515625" style="3" customWidth="1"/>
    <col min="15624" max="15626" width="8.140625" style="3" customWidth="1"/>
    <col min="15627" max="15627" width="7" style="3" customWidth="1"/>
    <col min="15628" max="15636" width="0" style="3" hidden="1" customWidth="1"/>
    <col min="15637" max="15872" width="9.140625" style="3"/>
    <col min="15873" max="15873" width="4.85546875" style="3" customWidth="1"/>
    <col min="15874" max="15874" width="5.42578125" style="3" customWidth="1"/>
    <col min="15875" max="15875" width="51.5703125" style="3" customWidth="1"/>
    <col min="15876" max="15876" width="10.42578125" style="3" customWidth="1"/>
    <col min="15877" max="15877" width="7.5703125" style="3" customWidth="1"/>
    <col min="15878" max="15879" width="8.28515625" style="3" customWidth="1"/>
    <col min="15880" max="15882" width="8.140625" style="3" customWidth="1"/>
    <col min="15883" max="15883" width="7" style="3" customWidth="1"/>
    <col min="15884" max="15892" width="0" style="3" hidden="1" customWidth="1"/>
    <col min="15893" max="16128" width="9.140625" style="3"/>
    <col min="16129" max="16129" width="4.85546875" style="3" customWidth="1"/>
    <col min="16130" max="16130" width="5.42578125" style="3" customWidth="1"/>
    <col min="16131" max="16131" width="51.5703125" style="3" customWidth="1"/>
    <col min="16132" max="16132" width="10.42578125" style="3" customWidth="1"/>
    <col min="16133" max="16133" width="7.5703125" style="3" customWidth="1"/>
    <col min="16134" max="16135" width="8.28515625" style="3" customWidth="1"/>
    <col min="16136" max="16138" width="8.140625" style="3" customWidth="1"/>
    <col min="16139" max="16139" width="7" style="3" customWidth="1"/>
    <col min="16140" max="16148" width="0" style="3" hidden="1" customWidth="1"/>
    <col min="16149" max="16384" width="9.140625" style="3"/>
  </cols>
  <sheetData>
    <row r="1" spans="1:21" x14ac:dyDescent="0.2">
      <c r="C1" s="239" t="s">
        <v>757</v>
      </c>
      <c r="D1" s="239"/>
      <c r="E1" s="239"/>
      <c r="F1" s="239"/>
      <c r="G1" s="239"/>
      <c r="H1" s="239"/>
      <c r="I1" s="239"/>
      <c r="J1" s="239"/>
      <c r="K1" s="239"/>
      <c r="L1" s="239"/>
      <c r="M1" s="239"/>
      <c r="N1" s="239"/>
      <c r="O1" s="239"/>
      <c r="P1" s="239"/>
      <c r="Q1" s="239"/>
      <c r="R1" s="239"/>
      <c r="S1" s="239"/>
      <c r="T1" s="239"/>
      <c r="U1" s="239"/>
    </row>
    <row r="2" spans="1:21" x14ac:dyDescent="0.2">
      <c r="C2" s="239" t="s">
        <v>764</v>
      </c>
      <c r="D2" s="239"/>
      <c r="E2" s="239"/>
      <c r="F2" s="239"/>
      <c r="G2" s="239"/>
      <c r="H2" s="239"/>
      <c r="I2" s="239"/>
      <c r="J2" s="239"/>
      <c r="K2" s="239"/>
      <c r="L2" s="239"/>
      <c r="M2" s="239"/>
      <c r="N2" s="239"/>
      <c r="O2" s="239"/>
      <c r="P2" s="239"/>
      <c r="Q2" s="239"/>
      <c r="R2" s="239"/>
      <c r="S2" s="239"/>
      <c r="T2" s="239"/>
      <c r="U2" s="239"/>
    </row>
    <row r="3" spans="1:21" hidden="1" x14ac:dyDescent="0.2">
      <c r="C3" s="239" t="s">
        <v>0</v>
      </c>
      <c r="D3" s="239"/>
      <c r="E3" s="239"/>
      <c r="F3" s="239"/>
      <c r="G3" s="239"/>
      <c r="H3" s="239"/>
      <c r="I3" s="239"/>
      <c r="J3" s="239"/>
      <c r="K3" s="239"/>
    </row>
    <row r="4" spans="1:21" x14ac:dyDescent="0.2">
      <c r="C4" s="156"/>
      <c r="D4" s="156"/>
      <c r="E4" s="259" t="s">
        <v>524</v>
      </c>
      <c r="F4" s="259"/>
      <c r="G4" s="259"/>
      <c r="H4" s="259"/>
      <c r="I4" s="259"/>
      <c r="J4" s="259"/>
      <c r="K4" s="259"/>
      <c r="L4" s="259"/>
      <c r="M4" s="259"/>
      <c r="N4" s="259"/>
      <c r="O4" s="259"/>
      <c r="P4" s="259"/>
      <c r="Q4" s="259"/>
      <c r="R4" s="259"/>
      <c r="S4" s="259"/>
      <c r="T4" s="259"/>
      <c r="U4" s="259"/>
    </row>
    <row r="5" spans="1:21" ht="12" customHeight="1" x14ac:dyDescent="0.2">
      <c r="C5" s="2"/>
      <c r="D5" s="2"/>
      <c r="E5" s="2"/>
      <c r="F5" s="2"/>
      <c r="G5" s="2"/>
      <c r="H5" s="2"/>
      <c r="I5" s="2"/>
      <c r="J5" s="2"/>
      <c r="K5" s="2"/>
      <c r="R5" s="163"/>
    </row>
    <row r="6" spans="1:21" ht="25.5" customHeight="1" x14ac:dyDescent="0.2">
      <c r="A6" s="257" t="s">
        <v>589</v>
      </c>
      <c r="B6" s="257"/>
      <c r="C6" s="257"/>
      <c r="D6" s="257"/>
      <c r="E6" s="257"/>
      <c r="F6" s="257"/>
      <c r="G6" s="257"/>
      <c r="H6" s="257"/>
      <c r="I6" s="257"/>
      <c r="J6" s="257"/>
      <c r="K6" s="257"/>
    </row>
    <row r="7" spans="1:21" x14ac:dyDescent="0.2">
      <c r="J7" s="259" t="s">
        <v>3</v>
      </c>
      <c r="K7" s="259"/>
      <c r="L7" s="259"/>
      <c r="M7" s="259"/>
      <c r="N7" s="259"/>
      <c r="O7" s="259"/>
      <c r="P7" s="259"/>
      <c r="Q7" s="259"/>
      <c r="R7" s="259"/>
      <c r="S7" s="259"/>
      <c r="T7" s="259"/>
      <c r="U7" s="259"/>
    </row>
    <row r="8" spans="1:21" ht="15.6" customHeight="1" x14ac:dyDescent="0.2">
      <c r="A8" s="242" t="s">
        <v>504</v>
      </c>
      <c r="B8" s="268" t="s">
        <v>505</v>
      </c>
      <c r="C8" s="242" t="s">
        <v>6</v>
      </c>
      <c r="D8" s="268" t="s">
        <v>590</v>
      </c>
      <c r="E8" s="246" t="s">
        <v>8</v>
      </c>
      <c r="F8" s="256"/>
      <c r="G8" s="246" t="s">
        <v>9</v>
      </c>
      <c r="H8" s="256"/>
      <c r="I8" s="256"/>
      <c r="J8" s="256"/>
      <c r="K8" s="256"/>
      <c r="L8" s="256"/>
      <c r="M8" s="256"/>
      <c r="N8" s="256"/>
      <c r="O8" s="256"/>
      <c r="P8" s="256"/>
      <c r="Q8" s="256"/>
      <c r="R8" s="256"/>
      <c r="S8" s="256"/>
      <c r="T8" s="256"/>
      <c r="U8" s="247"/>
    </row>
    <row r="9" spans="1:21" hidden="1" x14ac:dyDescent="0.2">
      <c r="A9" s="264"/>
      <c r="B9" s="269"/>
      <c r="C9" s="264"/>
      <c r="D9" s="269"/>
      <c r="E9" s="287"/>
      <c r="F9" s="288"/>
      <c r="G9" s="248"/>
      <c r="H9" s="286"/>
      <c r="I9" s="286"/>
      <c r="J9" s="286"/>
      <c r="K9" s="286"/>
      <c r="L9" s="286"/>
      <c r="M9" s="286"/>
      <c r="N9" s="286"/>
      <c r="O9" s="286"/>
      <c r="P9" s="286"/>
      <c r="Q9" s="286"/>
      <c r="R9" s="286"/>
      <c r="S9" s="286"/>
      <c r="T9" s="286"/>
      <c r="U9" s="249"/>
    </row>
    <row r="10" spans="1:21" ht="16.149999999999999" customHeight="1" x14ac:dyDescent="0.2">
      <c r="A10" s="264"/>
      <c r="B10" s="269"/>
      <c r="C10" s="264"/>
      <c r="D10" s="269"/>
      <c r="E10" s="248"/>
      <c r="F10" s="286"/>
      <c r="G10" s="240" t="s">
        <v>10</v>
      </c>
      <c r="H10" s="285"/>
      <c r="I10" s="285"/>
      <c r="J10" s="241"/>
      <c r="K10" s="246" t="s">
        <v>11</v>
      </c>
      <c r="L10" s="256"/>
      <c r="M10" s="256"/>
      <c r="N10" s="256"/>
      <c r="O10" s="256"/>
      <c r="P10" s="256"/>
      <c r="Q10" s="256"/>
      <c r="R10" s="256"/>
      <c r="S10" s="256"/>
      <c r="T10" s="256"/>
      <c r="U10" s="247"/>
    </row>
    <row r="11" spans="1:21" ht="26.45" customHeight="1" x14ac:dyDescent="0.2">
      <c r="A11" s="264"/>
      <c r="B11" s="269"/>
      <c r="C11" s="264"/>
      <c r="D11" s="269"/>
      <c r="E11" s="242" t="s">
        <v>12</v>
      </c>
      <c r="F11" s="242" t="s">
        <v>13</v>
      </c>
      <c r="G11" s="240" t="s">
        <v>506</v>
      </c>
      <c r="H11" s="241"/>
      <c r="I11" s="240" t="s">
        <v>14</v>
      </c>
      <c r="J11" s="241"/>
      <c r="K11" s="242" t="s">
        <v>12</v>
      </c>
      <c r="U11" s="242" t="s">
        <v>13</v>
      </c>
    </row>
    <row r="12" spans="1:21" ht="16.899999999999999" customHeight="1" x14ac:dyDescent="0.2">
      <c r="A12" s="243"/>
      <c r="B12" s="270"/>
      <c r="C12" s="243"/>
      <c r="D12" s="270"/>
      <c r="E12" s="243"/>
      <c r="F12" s="243"/>
      <c r="G12" s="121" t="s">
        <v>12</v>
      </c>
      <c r="H12" s="121" t="s">
        <v>13</v>
      </c>
      <c r="I12" s="121" t="s">
        <v>12</v>
      </c>
      <c r="J12" s="121" t="s">
        <v>13</v>
      </c>
      <c r="K12" s="243"/>
      <c r="U12" s="243"/>
    </row>
    <row r="13" spans="1:21" s="102" customFormat="1" ht="12" customHeight="1" x14ac:dyDescent="0.2">
      <c r="A13" s="9">
        <v>1</v>
      </c>
      <c r="B13" s="12" t="s">
        <v>15</v>
      </c>
      <c r="C13" s="8">
        <v>3</v>
      </c>
      <c r="D13" s="12" t="s">
        <v>539</v>
      </c>
      <c r="E13" s="8">
        <v>5</v>
      </c>
      <c r="F13" s="8">
        <v>6</v>
      </c>
      <c r="G13" s="8">
        <v>7</v>
      </c>
      <c r="H13" s="8">
        <v>8</v>
      </c>
      <c r="I13" s="8">
        <v>9</v>
      </c>
      <c r="J13" s="8">
        <v>10</v>
      </c>
      <c r="K13" s="8">
        <v>11</v>
      </c>
      <c r="U13" s="230">
        <v>12</v>
      </c>
    </row>
    <row r="14" spans="1:21" s="102" customFormat="1" ht="20.100000000000001" customHeight="1" x14ac:dyDescent="0.2">
      <c r="A14" s="13">
        <v>1</v>
      </c>
      <c r="B14" s="12" t="s">
        <v>94</v>
      </c>
      <c r="C14" s="14" t="s">
        <v>95</v>
      </c>
      <c r="D14" s="12"/>
      <c r="E14" s="52">
        <f>+G14+K14</f>
        <v>473.20000000000005</v>
      </c>
      <c r="F14" s="52">
        <f>+H14+L14</f>
        <v>472.6</v>
      </c>
      <c r="G14" s="52">
        <f>SUM(G15+G17+G19+G21)</f>
        <v>473.20000000000005</v>
      </c>
      <c r="H14" s="52">
        <f>SUM(H15+H17+H19+H21)</f>
        <v>472.6</v>
      </c>
      <c r="I14" s="52">
        <f>SUM(I15+I17+I19+I21)</f>
        <v>333.29999999999995</v>
      </c>
      <c r="J14" s="52">
        <f>SUM(J15+J17+J19+J21)</f>
        <v>332.7</v>
      </c>
      <c r="K14" s="155">
        <v>0</v>
      </c>
      <c r="L14" s="223">
        <f>+M14+O14</f>
        <v>0</v>
      </c>
      <c r="M14" s="224"/>
      <c r="N14" s="224"/>
      <c r="O14" s="224"/>
      <c r="P14" s="223">
        <f>+Q14+T14</f>
        <v>0</v>
      </c>
      <c r="Q14" s="223"/>
      <c r="R14" s="223"/>
      <c r="S14" s="223"/>
      <c r="T14" s="223"/>
      <c r="U14" s="225">
        <v>0</v>
      </c>
    </row>
    <row r="15" spans="1:21" s="102" customFormat="1" ht="12.6" customHeight="1" x14ac:dyDescent="0.2">
      <c r="A15" s="13">
        <v>2</v>
      </c>
      <c r="B15" s="18" t="s">
        <v>591</v>
      </c>
      <c r="C15" s="59" t="s">
        <v>592</v>
      </c>
      <c r="D15" s="18" t="s">
        <v>518</v>
      </c>
      <c r="E15" s="164">
        <f t="shared" ref="E15:J15" si="0">+E16</f>
        <v>278.10000000000002</v>
      </c>
      <c r="F15" s="164">
        <f t="shared" si="0"/>
        <v>278.10000000000002</v>
      </c>
      <c r="G15" s="164">
        <f t="shared" si="0"/>
        <v>278.10000000000002</v>
      </c>
      <c r="H15" s="164">
        <f t="shared" si="0"/>
        <v>278.10000000000002</v>
      </c>
      <c r="I15" s="164">
        <f t="shared" si="0"/>
        <v>226.5</v>
      </c>
      <c r="J15" s="164">
        <f t="shared" si="0"/>
        <v>226.5</v>
      </c>
      <c r="K15" s="164"/>
      <c r="L15" s="157">
        <f t="shared" ref="L15:L77" si="1">+M15+O15</f>
        <v>0</v>
      </c>
      <c r="P15" s="157">
        <f t="shared" ref="P15:P77" si="2">+Q15+T15</f>
        <v>0</v>
      </c>
      <c r="Q15" s="157"/>
      <c r="R15" s="157"/>
      <c r="S15" s="157"/>
      <c r="T15" s="157"/>
      <c r="U15" s="103"/>
    </row>
    <row r="16" spans="1:21" s="102" customFormat="1" ht="12.6" customHeight="1" x14ac:dyDescent="0.2">
      <c r="A16" s="13">
        <v>3</v>
      </c>
      <c r="B16" s="12"/>
      <c r="C16" s="48" t="s">
        <v>517</v>
      </c>
      <c r="D16" s="12"/>
      <c r="E16" s="165">
        <f>+G16+K16</f>
        <v>278.10000000000002</v>
      </c>
      <c r="F16" s="165">
        <f>+H16+L16</f>
        <v>278.10000000000002</v>
      </c>
      <c r="G16" s="165">
        <v>278.10000000000002</v>
      </c>
      <c r="H16" s="165">
        <v>278.10000000000002</v>
      </c>
      <c r="I16" s="165">
        <v>226.5</v>
      </c>
      <c r="J16" s="165">
        <v>226.5</v>
      </c>
      <c r="K16" s="165"/>
      <c r="L16" s="157">
        <f t="shared" si="1"/>
        <v>0</v>
      </c>
      <c r="P16" s="157">
        <f t="shared" si="2"/>
        <v>0</v>
      </c>
      <c r="Q16" s="157"/>
      <c r="R16" s="157"/>
      <c r="S16" s="157"/>
      <c r="T16" s="157"/>
      <c r="U16" s="103"/>
    </row>
    <row r="17" spans="1:21" s="102" customFormat="1" ht="12.6" customHeight="1" x14ac:dyDescent="0.2">
      <c r="A17" s="13">
        <v>4</v>
      </c>
      <c r="B17" s="18" t="s">
        <v>593</v>
      </c>
      <c r="C17" s="59" t="s">
        <v>594</v>
      </c>
      <c r="D17" s="18" t="s">
        <v>518</v>
      </c>
      <c r="E17" s="164">
        <f t="shared" ref="E17:J17" si="3">+E18</f>
        <v>135.1</v>
      </c>
      <c r="F17" s="164">
        <f t="shared" si="3"/>
        <v>135.1</v>
      </c>
      <c r="G17" s="164">
        <f t="shared" si="3"/>
        <v>135.1</v>
      </c>
      <c r="H17" s="164">
        <f t="shared" si="3"/>
        <v>135.1</v>
      </c>
      <c r="I17" s="164">
        <f t="shared" si="3"/>
        <v>103.9</v>
      </c>
      <c r="J17" s="164">
        <f t="shared" si="3"/>
        <v>103.9</v>
      </c>
      <c r="K17" s="164"/>
      <c r="L17" s="157">
        <f t="shared" si="1"/>
        <v>0</v>
      </c>
      <c r="P17" s="157">
        <f t="shared" si="2"/>
        <v>0</v>
      </c>
      <c r="Q17" s="157"/>
      <c r="R17" s="157"/>
      <c r="S17" s="157"/>
      <c r="T17" s="157"/>
      <c r="U17" s="103"/>
    </row>
    <row r="18" spans="1:21" s="102" customFormat="1" ht="12.6" customHeight="1" x14ac:dyDescent="0.2">
      <c r="A18" s="13">
        <v>5</v>
      </c>
      <c r="B18" s="18"/>
      <c r="C18" s="48" t="s">
        <v>517</v>
      </c>
      <c r="D18" s="12"/>
      <c r="E18" s="165">
        <f t="shared" ref="E18:F20" si="4">+G18+K18</f>
        <v>135.1</v>
      </c>
      <c r="F18" s="165">
        <f t="shared" si="4"/>
        <v>135.1</v>
      </c>
      <c r="G18" s="165">
        <v>135.1</v>
      </c>
      <c r="H18" s="165">
        <v>135.1</v>
      </c>
      <c r="I18" s="165">
        <v>103.9</v>
      </c>
      <c r="J18" s="165">
        <v>103.9</v>
      </c>
      <c r="K18" s="165"/>
      <c r="L18" s="157">
        <f t="shared" si="1"/>
        <v>0</v>
      </c>
      <c r="M18" s="132"/>
      <c r="P18" s="157">
        <f t="shared" si="2"/>
        <v>0</v>
      </c>
      <c r="Q18" s="157"/>
      <c r="R18" s="157"/>
      <c r="S18" s="157"/>
      <c r="T18" s="157"/>
      <c r="U18" s="103"/>
    </row>
    <row r="19" spans="1:21" s="102" customFormat="1" ht="12.6" customHeight="1" x14ac:dyDescent="0.2">
      <c r="A19" s="13">
        <v>6</v>
      </c>
      <c r="B19" s="18" t="s">
        <v>595</v>
      </c>
      <c r="C19" s="59" t="s">
        <v>596</v>
      </c>
      <c r="D19" s="18" t="s">
        <v>518</v>
      </c>
      <c r="E19" s="164">
        <f t="shared" si="4"/>
        <v>57</v>
      </c>
      <c r="F19" s="164">
        <f t="shared" si="4"/>
        <v>57</v>
      </c>
      <c r="G19" s="164">
        <f>+G20</f>
        <v>57</v>
      </c>
      <c r="H19" s="164">
        <f>+H20</f>
        <v>57</v>
      </c>
      <c r="I19" s="164">
        <f>+I20</f>
        <v>0</v>
      </c>
      <c r="J19" s="164"/>
      <c r="K19" s="164">
        <f>+K20</f>
        <v>0</v>
      </c>
      <c r="L19" s="157">
        <f t="shared" si="1"/>
        <v>0</v>
      </c>
      <c r="P19" s="157">
        <f t="shared" si="2"/>
        <v>0</v>
      </c>
      <c r="Q19" s="157"/>
      <c r="R19" s="157"/>
      <c r="S19" s="157"/>
      <c r="T19" s="157"/>
      <c r="U19" s="103"/>
    </row>
    <row r="20" spans="1:21" s="102" customFormat="1" ht="12.6" customHeight="1" x14ac:dyDescent="0.2">
      <c r="A20" s="13">
        <v>7</v>
      </c>
      <c r="B20" s="18"/>
      <c r="C20" s="48" t="s">
        <v>517</v>
      </c>
      <c r="D20" s="12"/>
      <c r="E20" s="165">
        <f t="shared" si="4"/>
        <v>57</v>
      </c>
      <c r="F20" s="165">
        <f t="shared" si="4"/>
        <v>57</v>
      </c>
      <c r="G20" s="165">
        <v>57</v>
      </c>
      <c r="H20" s="165">
        <v>57</v>
      </c>
      <c r="I20" s="165"/>
      <c r="J20" s="165"/>
      <c r="K20" s="165"/>
      <c r="L20" s="157">
        <f t="shared" si="1"/>
        <v>0</v>
      </c>
      <c r="P20" s="157">
        <f t="shared" si="2"/>
        <v>0</v>
      </c>
      <c r="Q20" s="157"/>
      <c r="R20" s="157"/>
      <c r="S20" s="157"/>
      <c r="T20" s="157"/>
      <c r="U20" s="103"/>
    </row>
    <row r="21" spans="1:21" s="102" customFormat="1" ht="12.6" customHeight="1" x14ac:dyDescent="0.2">
      <c r="A21" s="13">
        <v>8</v>
      </c>
      <c r="B21" s="18" t="s">
        <v>597</v>
      </c>
      <c r="C21" s="59" t="s">
        <v>598</v>
      </c>
      <c r="D21" s="18" t="s">
        <v>133</v>
      </c>
      <c r="E21" s="164">
        <f t="shared" ref="E21:K21" si="5">+E22</f>
        <v>3</v>
      </c>
      <c r="F21" s="164">
        <f t="shared" si="5"/>
        <v>2.4</v>
      </c>
      <c r="G21" s="164">
        <f t="shared" si="5"/>
        <v>3</v>
      </c>
      <c r="H21" s="164">
        <f t="shared" si="5"/>
        <v>2.4</v>
      </c>
      <c r="I21" s="164">
        <f t="shared" si="5"/>
        <v>2.9</v>
      </c>
      <c r="J21" s="164">
        <f t="shared" si="5"/>
        <v>2.2999999999999998</v>
      </c>
      <c r="K21" s="164">
        <f t="shared" si="5"/>
        <v>0</v>
      </c>
      <c r="L21" s="157">
        <f t="shared" si="1"/>
        <v>0</v>
      </c>
      <c r="P21" s="157">
        <f t="shared" si="2"/>
        <v>0</v>
      </c>
      <c r="Q21" s="157"/>
      <c r="R21" s="157"/>
      <c r="S21" s="157"/>
      <c r="T21" s="157"/>
      <c r="U21" s="103"/>
    </row>
    <row r="22" spans="1:21" s="102" customFormat="1" ht="12.6" customHeight="1" x14ac:dyDescent="0.2">
      <c r="A22" s="13">
        <v>9</v>
      </c>
      <c r="B22" s="12"/>
      <c r="C22" s="113" t="s">
        <v>61</v>
      </c>
      <c r="D22" s="12"/>
      <c r="E22" s="165">
        <f>+G22+K22</f>
        <v>3</v>
      </c>
      <c r="F22" s="165">
        <f>+H22+L22</f>
        <v>2.4</v>
      </c>
      <c r="G22" s="165">
        <v>3</v>
      </c>
      <c r="H22" s="165">
        <v>2.4</v>
      </c>
      <c r="I22" s="165">
        <v>2.9</v>
      </c>
      <c r="J22" s="165">
        <v>2.2999999999999998</v>
      </c>
      <c r="K22" s="165"/>
      <c r="L22" s="157">
        <f t="shared" si="1"/>
        <v>0</v>
      </c>
      <c r="P22" s="157">
        <f t="shared" si="2"/>
        <v>0</v>
      </c>
      <c r="Q22" s="157"/>
      <c r="R22" s="157"/>
      <c r="S22" s="157"/>
      <c r="T22" s="157"/>
      <c r="U22" s="103"/>
    </row>
    <row r="23" spans="1:21" ht="20.100000000000001" customHeight="1" x14ac:dyDescent="0.2">
      <c r="A23" s="13">
        <v>10</v>
      </c>
      <c r="B23" s="11" t="s">
        <v>141</v>
      </c>
      <c r="C23" s="51" t="s">
        <v>142</v>
      </c>
      <c r="D23" s="16"/>
      <c r="E23" s="58">
        <f t="shared" ref="E23:U23" si="6">SUM(E24+E31+E43+E56+E58)</f>
        <v>1710.2999999999997</v>
      </c>
      <c r="F23" s="58">
        <f t="shared" si="6"/>
        <v>1664.4</v>
      </c>
      <c r="G23" s="58">
        <f t="shared" si="6"/>
        <v>1697.3999999999996</v>
      </c>
      <c r="H23" s="58">
        <f t="shared" si="6"/>
        <v>1651.6</v>
      </c>
      <c r="I23" s="58">
        <f t="shared" si="6"/>
        <v>827.2</v>
      </c>
      <c r="J23" s="58">
        <f t="shared" si="6"/>
        <v>791.9</v>
      </c>
      <c r="K23" s="52">
        <f t="shared" si="6"/>
        <v>12.9</v>
      </c>
      <c r="L23" s="52">
        <f t="shared" si="6"/>
        <v>40</v>
      </c>
      <c r="M23" s="52">
        <f t="shared" si="6"/>
        <v>37.9</v>
      </c>
      <c r="N23" s="52">
        <f t="shared" si="6"/>
        <v>19.8</v>
      </c>
      <c r="O23" s="52">
        <f t="shared" si="6"/>
        <v>2.1</v>
      </c>
      <c r="P23" s="52">
        <f t="shared" si="6"/>
        <v>41.8</v>
      </c>
      <c r="Q23" s="52">
        <f t="shared" si="6"/>
        <v>36.299999999999997</v>
      </c>
      <c r="R23" s="52">
        <f t="shared" si="6"/>
        <v>0</v>
      </c>
      <c r="S23" s="52">
        <f t="shared" si="6"/>
        <v>14.600000000000001</v>
      </c>
      <c r="T23" s="52">
        <f t="shared" si="6"/>
        <v>5.5</v>
      </c>
      <c r="U23" s="52">
        <f t="shared" si="6"/>
        <v>12.8</v>
      </c>
    </row>
    <row r="24" spans="1:21" ht="24.95" customHeight="1" x14ac:dyDescent="0.2">
      <c r="A24" s="13">
        <v>11</v>
      </c>
      <c r="B24" s="16" t="s">
        <v>599</v>
      </c>
      <c r="C24" s="59" t="s">
        <v>600</v>
      </c>
      <c r="D24" s="76" t="s">
        <v>175</v>
      </c>
      <c r="E24" s="166">
        <f t="shared" ref="E24:U24" si="7">SUM(E25:E29)</f>
        <v>622.89999999999986</v>
      </c>
      <c r="F24" s="166">
        <f t="shared" si="7"/>
        <v>619.5</v>
      </c>
      <c r="G24" s="166">
        <f t="shared" si="7"/>
        <v>610</v>
      </c>
      <c r="H24" s="166">
        <f t="shared" si="7"/>
        <v>606.69999999999993</v>
      </c>
      <c r="I24" s="166">
        <f t="shared" si="7"/>
        <v>361.4</v>
      </c>
      <c r="J24" s="166">
        <f t="shared" si="7"/>
        <v>361.4</v>
      </c>
      <c r="K24" s="166">
        <f t="shared" si="7"/>
        <v>12.9</v>
      </c>
      <c r="L24" s="166">
        <f t="shared" si="7"/>
        <v>40</v>
      </c>
      <c r="M24" s="166">
        <f t="shared" si="7"/>
        <v>37.9</v>
      </c>
      <c r="N24" s="166">
        <f t="shared" si="7"/>
        <v>19.8</v>
      </c>
      <c r="O24" s="166">
        <f t="shared" si="7"/>
        <v>2.1</v>
      </c>
      <c r="P24" s="166">
        <f t="shared" si="7"/>
        <v>41.8</v>
      </c>
      <c r="Q24" s="166">
        <f t="shared" si="7"/>
        <v>36.299999999999997</v>
      </c>
      <c r="R24" s="166">
        <f t="shared" si="7"/>
        <v>0</v>
      </c>
      <c r="S24" s="166">
        <f t="shared" si="7"/>
        <v>14.600000000000001</v>
      </c>
      <c r="T24" s="166">
        <f t="shared" si="7"/>
        <v>5.5</v>
      </c>
      <c r="U24" s="166">
        <f t="shared" si="7"/>
        <v>12.8</v>
      </c>
    </row>
    <row r="25" spans="1:21" ht="12.6" customHeight="1" x14ac:dyDescent="0.2">
      <c r="A25" s="13">
        <v>12</v>
      </c>
      <c r="B25" s="16"/>
      <c r="C25" s="40" t="s">
        <v>143</v>
      </c>
      <c r="D25" s="76"/>
      <c r="E25" s="20">
        <f t="shared" ref="E25:F30" si="8">+G25+K25</f>
        <v>190.69999999999996</v>
      </c>
      <c r="F25" s="20">
        <f>+H25+U25</f>
        <v>190.6</v>
      </c>
      <c r="G25" s="20">
        <f>129.2+34.7+13.1+13.7</f>
        <v>190.69999999999996</v>
      </c>
      <c r="H25" s="20">
        <v>190.6</v>
      </c>
      <c r="I25" s="20">
        <f>127.2-0.6+34.2+13.1+11.8</f>
        <v>185.70000000000002</v>
      </c>
      <c r="J25" s="20">
        <v>185.7</v>
      </c>
      <c r="K25" s="20"/>
      <c r="L25" s="157">
        <f t="shared" si="1"/>
        <v>13.1</v>
      </c>
      <c r="M25" s="22">
        <v>13.1</v>
      </c>
      <c r="N25" s="22">
        <v>13.1</v>
      </c>
      <c r="O25" s="22"/>
      <c r="P25" s="157">
        <f t="shared" si="2"/>
        <v>13.7</v>
      </c>
      <c r="Q25" s="157">
        <v>13.7</v>
      </c>
      <c r="R25" s="157"/>
      <c r="S25" s="157">
        <v>11.8</v>
      </c>
      <c r="T25" s="157"/>
      <c r="U25" s="107"/>
    </row>
    <row r="26" spans="1:21" ht="12.6" customHeight="1" x14ac:dyDescent="0.2">
      <c r="A26" s="13">
        <v>13</v>
      </c>
      <c r="B26" s="16"/>
      <c r="C26" s="45" t="s">
        <v>147</v>
      </c>
      <c r="D26" s="76"/>
      <c r="E26" s="20">
        <f t="shared" si="8"/>
        <v>93.3</v>
      </c>
      <c r="F26" s="20">
        <f>+H26+U26</f>
        <v>93.3</v>
      </c>
      <c r="G26" s="20">
        <f>63.4+21.8+3.8+4.3</f>
        <v>93.3</v>
      </c>
      <c r="H26" s="20">
        <v>93.3</v>
      </c>
      <c r="I26" s="20">
        <f>57.8+16.5+3.2+1.3</f>
        <v>78.8</v>
      </c>
      <c r="J26" s="20">
        <v>78.8</v>
      </c>
      <c r="K26" s="20"/>
      <c r="L26" s="157">
        <f t="shared" si="1"/>
        <v>3.8</v>
      </c>
      <c r="M26" s="22">
        <v>3.8</v>
      </c>
      <c r="N26" s="22">
        <v>3.2</v>
      </c>
      <c r="O26" s="22"/>
      <c r="P26" s="157">
        <f t="shared" si="2"/>
        <v>4.3</v>
      </c>
      <c r="Q26" s="157">
        <v>4.3</v>
      </c>
      <c r="R26" s="157"/>
      <c r="S26" s="157">
        <v>1.3</v>
      </c>
      <c r="T26" s="157"/>
      <c r="U26" s="107"/>
    </row>
    <row r="27" spans="1:21" ht="12.6" customHeight="1" x14ac:dyDescent="0.2">
      <c r="A27" s="13">
        <v>14</v>
      </c>
      <c r="B27" s="16"/>
      <c r="C27" s="45" t="s">
        <v>57</v>
      </c>
      <c r="D27" s="76"/>
      <c r="E27" s="20">
        <f t="shared" si="8"/>
        <v>65.7</v>
      </c>
      <c r="F27" s="20">
        <f>+H27+U27</f>
        <v>65.5</v>
      </c>
      <c r="G27" s="20">
        <f>47.6+15.1+1.5+1.5</f>
        <v>65.7</v>
      </c>
      <c r="H27" s="20">
        <v>65.5</v>
      </c>
      <c r="I27" s="20">
        <f>30+14.9+1.5+1.5</f>
        <v>47.9</v>
      </c>
      <c r="J27" s="20">
        <v>47.9</v>
      </c>
      <c r="K27" s="20"/>
      <c r="L27" s="157">
        <f t="shared" si="1"/>
        <v>1.5</v>
      </c>
      <c r="M27" s="22">
        <v>1.5</v>
      </c>
      <c r="N27" s="22">
        <v>1.5</v>
      </c>
      <c r="O27" s="22"/>
      <c r="P27" s="157">
        <f t="shared" si="2"/>
        <v>1.5</v>
      </c>
      <c r="Q27" s="157">
        <v>1.5</v>
      </c>
      <c r="R27" s="157"/>
      <c r="S27" s="157">
        <v>1.5</v>
      </c>
      <c r="T27" s="157"/>
      <c r="U27" s="107"/>
    </row>
    <row r="28" spans="1:21" ht="12.6" customHeight="1" x14ac:dyDescent="0.2">
      <c r="A28" s="13">
        <v>15</v>
      </c>
      <c r="B28" s="16"/>
      <c r="C28" s="45" t="s">
        <v>58</v>
      </c>
      <c r="D28" s="76"/>
      <c r="E28" s="20">
        <f t="shared" si="8"/>
        <v>79.400000000000006</v>
      </c>
      <c r="F28" s="20">
        <f>+H28+U28</f>
        <v>79.2</v>
      </c>
      <c r="G28" s="20">
        <f>49.9+12.5+3.6+0.5</f>
        <v>66.5</v>
      </c>
      <c r="H28" s="20">
        <v>66.400000000000006</v>
      </c>
      <c r="I28" s="20">
        <f>43+4+2</f>
        <v>49</v>
      </c>
      <c r="J28" s="20">
        <v>49</v>
      </c>
      <c r="K28" s="20">
        <f>5.3+2.1+5.5</f>
        <v>12.9</v>
      </c>
      <c r="L28" s="157">
        <f t="shared" si="1"/>
        <v>5.7</v>
      </c>
      <c r="M28" s="22">
        <v>3.6</v>
      </c>
      <c r="N28" s="22">
        <v>2</v>
      </c>
      <c r="O28" s="22">
        <v>2.1</v>
      </c>
      <c r="P28" s="157">
        <f t="shared" si="2"/>
        <v>6</v>
      </c>
      <c r="Q28" s="157">
        <v>0.5</v>
      </c>
      <c r="R28" s="157"/>
      <c r="S28" s="157"/>
      <c r="T28" s="157">
        <v>5.5</v>
      </c>
      <c r="U28" s="107">
        <v>12.8</v>
      </c>
    </row>
    <row r="29" spans="1:21" ht="12.6" customHeight="1" x14ac:dyDescent="0.2">
      <c r="A29" s="260">
        <v>16</v>
      </c>
      <c r="B29" s="262"/>
      <c r="C29" s="113" t="s">
        <v>61</v>
      </c>
      <c r="D29" s="76"/>
      <c r="E29" s="20">
        <f t="shared" si="8"/>
        <v>193.8</v>
      </c>
      <c r="F29" s="20">
        <f>+H29+U29</f>
        <v>190.9</v>
      </c>
      <c r="G29" s="20">
        <f>65+96.6+15.9+16.3</f>
        <v>193.8</v>
      </c>
      <c r="H29" s="20">
        <v>190.9</v>
      </c>
      <c r="I29" s="20"/>
      <c r="J29" s="20"/>
      <c r="K29" s="20"/>
      <c r="L29" s="157">
        <f t="shared" si="1"/>
        <v>15.9</v>
      </c>
      <c r="M29" s="22">
        <v>15.9</v>
      </c>
      <c r="N29" s="22"/>
      <c r="O29" s="22"/>
      <c r="P29" s="157">
        <f t="shared" si="2"/>
        <v>16.3</v>
      </c>
      <c r="Q29" s="157">
        <v>16.3</v>
      </c>
      <c r="R29" s="157"/>
      <c r="S29" s="157"/>
      <c r="T29" s="157"/>
      <c r="U29" s="107"/>
    </row>
    <row r="30" spans="1:21" ht="25.5" x14ac:dyDescent="0.2">
      <c r="A30" s="261"/>
      <c r="B30" s="263"/>
      <c r="C30" s="40" t="s">
        <v>601</v>
      </c>
      <c r="D30" s="76"/>
      <c r="E30" s="20">
        <f t="shared" si="8"/>
        <v>33.5</v>
      </c>
      <c r="F30" s="91">
        <f t="shared" si="8"/>
        <v>33</v>
      </c>
      <c r="G30" s="20">
        <f>30+2.5+1</f>
        <v>33.5</v>
      </c>
      <c r="H30" s="91">
        <v>33</v>
      </c>
      <c r="I30" s="20"/>
      <c r="J30" s="20"/>
      <c r="K30" s="20"/>
      <c r="L30" s="157">
        <f t="shared" si="1"/>
        <v>0</v>
      </c>
      <c r="M30" s="22"/>
      <c r="N30" s="22"/>
      <c r="O30" s="22"/>
      <c r="P30" s="157">
        <f t="shared" si="2"/>
        <v>0</v>
      </c>
      <c r="Q30" s="157"/>
      <c r="R30" s="157"/>
      <c r="S30" s="157"/>
      <c r="T30" s="157"/>
      <c r="U30" s="107"/>
    </row>
    <row r="31" spans="1:21" ht="24.95" customHeight="1" x14ac:dyDescent="0.2">
      <c r="A31" s="13">
        <v>17</v>
      </c>
      <c r="B31" s="16" t="s">
        <v>602</v>
      </c>
      <c r="C31" s="59" t="s">
        <v>603</v>
      </c>
      <c r="D31" s="16" t="s">
        <v>151</v>
      </c>
      <c r="E31" s="166">
        <f t="shared" ref="E31:J31" si="9">SUM(E32:E42)</f>
        <v>466.99999999999983</v>
      </c>
      <c r="F31" s="166">
        <f t="shared" si="9"/>
        <v>430.09999999999991</v>
      </c>
      <c r="G31" s="166">
        <f t="shared" si="9"/>
        <v>466.99999999999983</v>
      </c>
      <c r="H31" s="166">
        <f t="shared" si="9"/>
        <v>430.09999999999991</v>
      </c>
      <c r="I31" s="166">
        <f t="shared" si="9"/>
        <v>448.30000000000013</v>
      </c>
      <c r="J31" s="166">
        <f t="shared" si="9"/>
        <v>413.5</v>
      </c>
      <c r="K31" s="166"/>
      <c r="L31" s="157">
        <f t="shared" si="1"/>
        <v>0</v>
      </c>
      <c r="P31" s="157">
        <f t="shared" si="2"/>
        <v>0</v>
      </c>
      <c r="Q31" s="157"/>
      <c r="R31" s="157"/>
      <c r="S31" s="157"/>
      <c r="T31" s="157"/>
      <c r="U31" s="107"/>
    </row>
    <row r="32" spans="1:21" ht="12.6" customHeight="1" x14ac:dyDescent="0.2">
      <c r="A32" s="13">
        <v>18</v>
      </c>
      <c r="B32" s="16"/>
      <c r="C32" s="40" t="s">
        <v>150</v>
      </c>
      <c r="D32" s="16"/>
      <c r="E32" s="20">
        <f>+G32+K32</f>
        <v>206.1</v>
      </c>
      <c r="F32" s="20">
        <f>+H32+U32</f>
        <v>206.1</v>
      </c>
      <c r="G32" s="20">
        <v>206.1</v>
      </c>
      <c r="H32" s="20">
        <v>206.1</v>
      </c>
      <c r="I32" s="20">
        <v>198.5</v>
      </c>
      <c r="J32" s="20">
        <v>198.5</v>
      </c>
      <c r="K32" s="166"/>
      <c r="L32" s="157">
        <f t="shared" si="1"/>
        <v>0</v>
      </c>
      <c r="N32" s="22"/>
      <c r="P32" s="157">
        <f t="shared" si="2"/>
        <v>0</v>
      </c>
      <c r="Q32" s="157"/>
      <c r="R32" s="157"/>
      <c r="S32" s="157"/>
      <c r="T32" s="157"/>
      <c r="U32" s="107"/>
    </row>
    <row r="33" spans="1:21" ht="12.6" customHeight="1" x14ac:dyDescent="0.2">
      <c r="A33" s="13">
        <v>19</v>
      </c>
      <c r="B33" s="16"/>
      <c r="C33" s="27" t="s">
        <v>192</v>
      </c>
      <c r="D33" s="16"/>
      <c r="E33" s="20">
        <f>+G33+K33</f>
        <v>19.899999999999999</v>
      </c>
      <c r="F33" s="20">
        <f>+H33+U33</f>
        <v>19.8</v>
      </c>
      <c r="G33" s="20">
        <v>19.899999999999999</v>
      </c>
      <c r="H33" s="20">
        <v>19.8</v>
      </c>
      <c r="I33" s="20">
        <v>19.100000000000001</v>
      </c>
      <c r="J33" s="20">
        <v>19.100000000000001</v>
      </c>
      <c r="K33" s="20"/>
      <c r="L33" s="157">
        <f t="shared" si="1"/>
        <v>0</v>
      </c>
      <c r="N33" s="22"/>
      <c r="P33" s="157">
        <f t="shared" si="2"/>
        <v>0</v>
      </c>
      <c r="Q33" s="157"/>
      <c r="R33" s="157"/>
      <c r="S33" s="157"/>
      <c r="T33" s="157"/>
      <c r="U33" s="107"/>
    </row>
    <row r="34" spans="1:21" ht="12.6" customHeight="1" x14ac:dyDescent="0.2">
      <c r="A34" s="13">
        <v>20</v>
      </c>
      <c r="B34" s="16"/>
      <c r="C34" s="27" t="s">
        <v>194</v>
      </c>
      <c r="D34" s="16"/>
      <c r="E34" s="20">
        <f t="shared" ref="E34:E42" si="10">+G34+K34</f>
        <v>30</v>
      </c>
      <c r="F34" s="20">
        <f t="shared" ref="F34:F42" si="11">+H34+U34</f>
        <v>22.5</v>
      </c>
      <c r="G34" s="20">
        <v>30</v>
      </c>
      <c r="H34" s="20">
        <v>22.5</v>
      </c>
      <c r="I34" s="20">
        <v>28.8</v>
      </c>
      <c r="J34" s="20">
        <v>21.3</v>
      </c>
      <c r="K34" s="20"/>
      <c r="L34" s="157">
        <f t="shared" si="1"/>
        <v>0</v>
      </c>
      <c r="N34" s="22"/>
      <c r="P34" s="157">
        <f t="shared" si="2"/>
        <v>0</v>
      </c>
      <c r="Q34" s="157"/>
      <c r="R34" s="157"/>
      <c r="S34" s="157"/>
      <c r="T34" s="157"/>
      <c r="U34" s="107"/>
    </row>
    <row r="35" spans="1:21" ht="12.6" customHeight="1" x14ac:dyDescent="0.2">
      <c r="A35" s="13">
        <v>21</v>
      </c>
      <c r="B35" s="16"/>
      <c r="C35" s="27" t="s">
        <v>195</v>
      </c>
      <c r="D35" s="16"/>
      <c r="E35" s="20">
        <f t="shared" si="10"/>
        <v>19.899999999999999</v>
      </c>
      <c r="F35" s="20">
        <f t="shared" si="11"/>
        <v>17.399999999999999</v>
      </c>
      <c r="G35" s="20">
        <v>19.899999999999999</v>
      </c>
      <c r="H35" s="20">
        <v>17.399999999999999</v>
      </c>
      <c r="I35" s="20">
        <f>19.1-0.1</f>
        <v>19</v>
      </c>
      <c r="J35" s="20">
        <v>16.8</v>
      </c>
      <c r="K35" s="20"/>
      <c r="L35" s="157">
        <f t="shared" si="1"/>
        <v>0</v>
      </c>
      <c r="N35" s="22">
        <v>-0.1</v>
      </c>
      <c r="P35" s="157">
        <f t="shared" si="2"/>
        <v>0</v>
      </c>
      <c r="Q35" s="157"/>
      <c r="R35" s="157"/>
      <c r="S35" s="157"/>
      <c r="T35" s="157"/>
      <c r="U35" s="107"/>
    </row>
    <row r="36" spans="1:21" ht="12.6" customHeight="1" x14ac:dyDescent="0.2">
      <c r="A36" s="13">
        <v>22</v>
      </c>
      <c r="B36" s="16"/>
      <c r="C36" s="27" t="s">
        <v>196</v>
      </c>
      <c r="D36" s="16"/>
      <c r="E36" s="20">
        <f t="shared" si="10"/>
        <v>29.9</v>
      </c>
      <c r="F36" s="20">
        <f t="shared" si="11"/>
        <v>27.4</v>
      </c>
      <c r="G36" s="20">
        <v>29.9</v>
      </c>
      <c r="H36" s="20">
        <v>27.4</v>
      </c>
      <c r="I36" s="20">
        <f>28.8-0.2</f>
        <v>28.6</v>
      </c>
      <c r="J36" s="20">
        <v>26.3</v>
      </c>
      <c r="K36" s="20"/>
      <c r="L36" s="157">
        <f t="shared" si="1"/>
        <v>0</v>
      </c>
      <c r="N36" s="22">
        <v>-0.2</v>
      </c>
      <c r="P36" s="157">
        <f t="shared" si="2"/>
        <v>0</v>
      </c>
      <c r="Q36" s="157"/>
      <c r="R36" s="157"/>
      <c r="S36" s="157"/>
      <c r="T36" s="157"/>
      <c r="U36" s="107"/>
    </row>
    <row r="37" spans="1:21" ht="12.6" customHeight="1" x14ac:dyDescent="0.2">
      <c r="A37" s="13">
        <v>23</v>
      </c>
      <c r="B37" s="16"/>
      <c r="C37" s="27" t="s">
        <v>197</v>
      </c>
      <c r="D37" s="16"/>
      <c r="E37" s="20">
        <f t="shared" si="10"/>
        <v>19.899999999999999</v>
      </c>
      <c r="F37" s="20">
        <f t="shared" si="11"/>
        <v>17.399999999999999</v>
      </c>
      <c r="G37" s="20">
        <v>19.899999999999999</v>
      </c>
      <c r="H37" s="20">
        <v>17.399999999999999</v>
      </c>
      <c r="I37" s="20">
        <v>19.100000000000001</v>
      </c>
      <c r="J37" s="20">
        <v>16.899999999999999</v>
      </c>
      <c r="K37" s="20"/>
      <c r="L37" s="157">
        <f t="shared" si="1"/>
        <v>0</v>
      </c>
      <c r="N37" s="22"/>
      <c r="P37" s="157">
        <f t="shared" si="2"/>
        <v>0</v>
      </c>
      <c r="Q37" s="157"/>
      <c r="R37" s="157"/>
      <c r="S37" s="157"/>
      <c r="T37" s="157"/>
      <c r="U37" s="107"/>
    </row>
    <row r="38" spans="1:21" ht="12.6" customHeight="1" x14ac:dyDescent="0.2">
      <c r="A38" s="13">
        <v>24</v>
      </c>
      <c r="B38" s="16"/>
      <c r="C38" s="40" t="s">
        <v>198</v>
      </c>
      <c r="D38" s="16"/>
      <c r="E38" s="20">
        <f t="shared" si="10"/>
        <v>19.899999999999999</v>
      </c>
      <c r="F38" s="20">
        <f t="shared" si="11"/>
        <v>15.4</v>
      </c>
      <c r="G38" s="20">
        <v>19.899999999999999</v>
      </c>
      <c r="H38" s="20">
        <v>15.4</v>
      </c>
      <c r="I38" s="20">
        <v>19.100000000000001</v>
      </c>
      <c r="J38" s="20">
        <v>14.7</v>
      </c>
      <c r="K38" s="20"/>
      <c r="L38" s="157">
        <f t="shared" si="1"/>
        <v>0</v>
      </c>
      <c r="N38" s="22"/>
      <c r="P38" s="157">
        <f t="shared" si="2"/>
        <v>0</v>
      </c>
      <c r="Q38" s="157"/>
      <c r="R38" s="157"/>
      <c r="S38" s="157"/>
      <c r="T38" s="157"/>
      <c r="U38" s="107"/>
    </row>
    <row r="39" spans="1:21" ht="12.6" customHeight="1" x14ac:dyDescent="0.2">
      <c r="A39" s="13">
        <v>25</v>
      </c>
      <c r="B39" s="16"/>
      <c r="C39" s="27" t="s">
        <v>199</v>
      </c>
      <c r="D39" s="16"/>
      <c r="E39" s="20">
        <f t="shared" si="10"/>
        <v>19.899999999999999</v>
      </c>
      <c r="F39" s="20">
        <f t="shared" si="11"/>
        <v>16.399999999999999</v>
      </c>
      <c r="G39" s="20">
        <v>19.899999999999999</v>
      </c>
      <c r="H39" s="20">
        <v>16.399999999999999</v>
      </c>
      <c r="I39" s="20">
        <v>19.100000000000001</v>
      </c>
      <c r="J39" s="20">
        <v>15.8</v>
      </c>
      <c r="K39" s="20"/>
      <c r="L39" s="157">
        <f t="shared" si="1"/>
        <v>0</v>
      </c>
      <c r="N39" s="22"/>
      <c r="P39" s="157">
        <f t="shared" si="2"/>
        <v>0</v>
      </c>
      <c r="Q39" s="157"/>
      <c r="R39" s="157"/>
      <c r="S39" s="157"/>
      <c r="T39" s="157"/>
      <c r="U39" s="107"/>
    </row>
    <row r="40" spans="1:21" ht="12.6" customHeight="1" x14ac:dyDescent="0.2">
      <c r="A40" s="13">
        <v>26</v>
      </c>
      <c r="B40" s="16"/>
      <c r="C40" s="27" t="s">
        <v>200</v>
      </c>
      <c r="D40" s="16"/>
      <c r="E40" s="20">
        <f t="shared" si="10"/>
        <v>29.9</v>
      </c>
      <c r="F40" s="20">
        <f t="shared" si="11"/>
        <v>26.3</v>
      </c>
      <c r="G40" s="20">
        <v>29.9</v>
      </c>
      <c r="H40" s="20">
        <v>26.3</v>
      </c>
      <c r="I40" s="20">
        <v>28.8</v>
      </c>
      <c r="J40" s="20">
        <v>25.2</v>
      </c>
      <c r="K40" s="20"/>
      <c r="L40" s="157">
        <f t="shared" si="1"/>
        <v>0</v>
      </c>
      <c r="N40" s="22"/>
      <c r="P40" s="157">
        <f t="shared" si="2"/>
        <v>0</v>
      </c>
      <c r="Q40" s="157"/>
      <c r="R40" s="157"/>
      <c r="S40" s="157"/>
      <c r="T40" s="157"/>
      <c r="U40" s="107"/>
    </row>
    <row r="41" spans="1:21" ht="12.6" customHeight="1" x14ac:dyDescent="0.2">
      <c r="A41" s="13">
        <v>27</v>
      </c>
      <c r="B41" s="16"/>
      <c r="C41" s="27" t="s">
        <v>201</v>
      </c>
      <c r="D41" s="16"/>
      <c r="E41" s="20">
        <f t="shared" si="10"/>
        <v>30.9</v>
      </c>
      <c r="F41" s="20">
        <f t="shared" si="11"/>
        <v>28.2</v>
      </c>
      <c r="G41" s="20">
        <v>30.9</v>
      </c>
      <c r="H41" s="20">
        <v>28.2</v>
      </c>
      <c r="I41" s="20">
        <f>29.7-0.6</f>
        <v>29.099999999999998</v>
      </c>
      <c r="J41" s="20">
        <v>27.1</v>
      </c>
      <c r="K41" s="20"/>
      <c r="L41" s="157">
        <f t="shared" si="1"/>
        <v>0</v>
      </c>
      <c r="N41" s="22">
        <v>-0.6</v>
      </c>
      <c r="P41" s="157">
        <f t="shared" si="2"/>
        <v>0</v>
      </c>
      <c r="Q41" s="157"/>
      <c r="R41" s="157"/>
      <c r="S41" s="157"/>
      <c r="T41" s="157"/>
      <c r="U41" s="107"/>
    </row>
    <row r="42" spans="1:21" ht="12.6" customHeight="1" x14ac:dyDescent="0.2">
      <c r="A42" s="13">
        <v>28</v>
      </c>
      <c r="B42" s="16"/>
      <c r="C42" s="27" t="s">
        <v>202</v>
      </c>
      <c r="D42" s="16"/>
      <c r="E42" s="20">
        <f t="shared" si="10"/>
        <v>40.700000000000003</v>
      </c>
      <c r="F42" s="20">
        <f t="shared" si="11"/>
        <v>33.200000000000003</v>
      </c>
      <c r="G42" s="20">
        <v>40.700000000000003</v>
      </c>
      <c r="H42" s="20">
        <v>33.200000000000003</v>
      </c>
      <c r="I42" s="20">
        <v>39.1</v>
      </c>
      <c r="J42" s="20">
        <v>31.8</v>
      </c>
      <c r="K42" s="20"/>
      <c r="L42" s="157">
        <f t="shared" si="1"/>
        <v>0</v>
      </c>
      <c r="P42" s="157">
        <f t="shared" si="2"/>
        <v>0</v>
      </c>
      <c r="Q42" s="157"/>
      <c r="R42" s="157"/>
      <c r="S42" s="157"/>
      <c r="T42" s="157"/>
      <c r="U42" s="107"/>
    </row>
    <row r="43" spans="1:21" ht="38.25" x14ac:dyDescent="0.2">
      <c r="A43" s="13">
        <v>29</v>
      </c>
      <c r="B43" s="16" t="s">
        <v>604</v>
      </c>
      <c r="C43" s="59" t="s">
        <v>605</v>
      </c>
      <c r="D43" s="18" t="s">
        <v>606</v>
      </c>
      <c r="E43" s="166">
        <f t="shared" ref="E43:J43" si="12">SUM(E44:E55)</f>
        <v>241.69999999999996</v>
      </c>
      <c r="F43" s="166">
        <f t="shared" si="12"/>
        <v>241.4</v>
      </c>
      <c r="G43" s="166">
        <f t="shared" si="12"/>
        <v>241.69999999999996</v>
      </c>
      <c r="H43" s="166">
        <f t="shared" si="12"/>
        <v>241.4</v>
      </c>
      <c r="I43" s="166">
        <f t="shared" si="12"/>
        <v>6.8000000000000025</v>
      </c>
      <c r="J43" s="166">
        <f t="shared" si="12"/>
        <v>6.5000000000000018</v>
      </c>
      <c r="K43" s="166"/>
      <c r="L43" s="157">
        <f t="shared" si="1"/>
        <v>0</v>
      </c>
      <c r="P43" s="157">
        <f t="shared" si="2"/>
        <v>0</v>
      </c>
      <c r="Q43" s="157"/>
      <c r="R43" s="157"/>
      <c r="S43" s="157"/>
      <c r="T43" s="157"/>
      <c r="U43" s="107"/>
    </row>
    <row r="44" spans="1:21" ht="12.6" customHeight="1" x14ac:dyDescent="0.2">
      <c r="A44" s="13">
        <v>30</v>
      </c>
      <c r="B44" s="16"/>
      <c r="C44" s="113" t="s">
        <v>61</v>
      </c>
      <c r="D44" s="18"/>
      <c r="E44" s="20">
        <f>+G44+K44</f>
        <v>4.0999999999999996</v>
      </c>
      <c r="F44" s="20">
        <f>+H44+U44</f>
        <v>3.6</v>
      </c>
      <c r="G44" s="20">
        <f>6-1.9</f>
        <v>4.0999999999999996</v>
      </c>
      <c r="H44" s="20">
        <v>3.6</v>
      </c>
      <c r="I44" s="146"/>
      <c r="J44" s="97"/>
      <c r="K44" s="20"/>
      <c r="L44" s="157">
        <f t="shared" si="1"/>
        <v>-1.9</v>
      </c>
      <c r="M44" s="3">
        <v>-1.9</v>
      </c>
      <c r="P44" s="157">
        <f t="shared" si="2"/>
        <v>0</v>
      </c>
      <c r="Q44" s="157"/>
      <c r="R44" s="157"/>
      <c r="S44" s="157"/>
      <c r="T44" s="157"/>
      <c r="U44" s="107"/>
    </row>
    <row r="45" spans="1:21" ht="24.95" customHeight="1" x14ac:dyDescent="0.2">
      <c r="A45" s="13">
        <v>31</v>
      </c>
      <c r="B45" s="16"/>
      <c r="C45" s="27" t="s">
        <v>190</v>
      </c>
      <c r="D45" s="16"/>
      <c r="E45" s="20">
        <f>+G45+K45</f>
        <v>125.29999999999998</v>
      </c>
      <c r="F45" s="20">
        <f t="shared" ref="F45:F55" si="13">+H45+U45</f>
        <v>124.8</v>
      </c>
      <c r="G45" s="20">
        <f>157.2-31.9</f>
        <v>125.29999999999998</v>
      </c>
      <c r="H45" s="20">
        <v>124.8</v>
      </c>
      <c r="I45" s="20">
        <f>5.9-2.3</f>
        <v>3.6000000000000005</v>
      </c>
      <c r="J45" s="20">
        <v>3.6</v>
      </c>
      <c r="K45" s="20"/>
      <c r="L45" s="157">
        <f t="shared" si="1"/>
        <v>-31.9</v>
      </c>
      <c r="M45" s="3">
        <v>-31.9</v>
      </c>
      <c r="N45" s="3">
        <v>-2.2999999999999998</v>
      </c>
      <c r="P45" s="157">
        <f t="shared" si="2"/>
        <v>0</v>
      </c>
      <c r="Q45" s="157"/>
      <c r="R45" s="157"/>
      <c r="S45" s="157"/>
      <c r="T45" s="157"/>
      <c r="U45" s="107"/>
    </row>
    <row r="46" spans="1:21" ht="12.6" customHeight="1" x14ac:dyDescent="0.2">
      <c r="A46" s="13">
        <v>32</v>
      </c>
      <c r="B46" s="16"/>
      <c r="C46" s="27" t="s">
        <v>192</v>
      </c>
      <c r="D46" s="16"/>
      <c r="E46" s="20">
        <f t="shared" ref="E46:E57" si="14">+G46+K46</f>
        <v>23.8</v>
      </c>
      <c r="F46" s="20">
        <f t="shared" si="13"/>
        <v>22.8</v>
      </c>
      <c r="G46" s="20">
        <f>22.6+1.2</f>
        <v>23.8</v>
      </c>
      <c r="H46" s="20">
        <v>22.8</v>
      </c>
      <c r="I46" s="20">
        <f>0.9-0.3</f>
        <v>0.60000000000000009</v>
      </c>
      <c r="J46" s="20">
        <v>0.6</v>
      </c>
      <c r="K46" s="20"/>
      <c r="L46" s="157">
        <f t="shared" si="1"/>
        <v>1.2</v>
      </c>
      <c r="M46" s="3">
        <v>1.2</v>
      </c>
      <c r="N46" s="3">
        <v>-0.3</v>
      </c>
      <c r="P46" s="157">
        <f t="shared" si="2"/>
        <v>0</v>
      </c>
      <c r="Q46" s="157"/>
      <c r="R46" s="157"/>
      <c r="S46" s="157"/>
      <c r="T46" s="157"/>
      <c r="U46" s="107"/>
    </row>
    <row r="47" spans="1:21" ht="12.6" customHeight="1" x14ac:dyDescent="0.2">
      <c r="A47" s="13">
        <v>33</v>
      </c>
      <c r="B47" s="16"/>
      <c r="C47" s="27" t="s">
        <v>194</v>
      </c>
      <c r="D47" s="16"/>
      <c r="E47" s="20">
        <f t="shared" si="14"/>
        <v>6.6</v>
      </c>
      <c r="F47" s="20">
        <f t="shared" si="13"/>
        <v>6</v>
      </c>
      <c r="G47" s="20">
        <f>8.7-2.1</f>
        <v>6.6</v>
      </c>
      <c r="H47" s="20">
        <v>6</v>
      </c>
      <c r="I47" s="20">
        <f>0.3-0.1</f>
        <v>0.19999999999999998</v>
      </c>
      <c r="J47" s="20">
        <v>0.2</v>
      </c>
      <c r="K47" s="20"/>
      <c r="L47" s="157">
        <f t="shared" si="1"/>
        <v>-2.1</v>
      </c>
      <c r="M47" s="3">
        <v>-2.1</v>
      </c>
      <c r="N47" s="3">
        <v>-0.1</v>
      </c>
      <c r="P47" s="157">
        <f t="shared" si="2"/>
        <v>0</v>
      </c>
      <c r="Q47" s="157"/>
      <c r="R47" s="157"/>
      <c r="S47" s="157"/>
      <c r="T47" s="157"/>
      <c r="U47" s="107"/>
    </row>
    <row r="48" spans="1:21" ht="12.6" customHeight="1" x14ac:dyDescent="0.2">
      <c r="A48" s="13">
        <v>34</v>
      </c>
      <c r="B48" s="16"/>
      <c r="C48" s="27" t="s">
        <v>195</v>
      </c>
      <c r="D48" s="16"/>
      <c r="E48" s="20">
        <f t="shared" si="14"/>
        <v>13.5</v>
      </c>
      <c r="F48" s="20">
        <f t="shared" si="13"/>
        <v>15.2</v>
      </c>
      <c r="G48" s="20">
        <f>19.3-5.8</f>
        <v>13.5</v>
      </c>
      <c r="H48" s="20">
        <v>15.2</v>
      </c>
      <c r="I48" s="20">
        <f>0.7-0.3</f>
        <v>0.39999999999999997</v>
      </c>
      <c r="J48" s="20">
        <v>0.3</v>
      </c>
      <c r="K48" s="20"/>
      <c r="L48" s="157">
        <f t="shared" si="1"/>
        <v>-5.8</v>
      </c>
      <c r="M48" s="3">
        <v>-5.8</v>
      </c>
      <c r="N48" s="3">
        <v>-0.3</v>
      </c>
      <c r="P48" s="157">
        <f t="shared" si="2"/>
        <v>0</v>
      </c>
      <c r="Q48" s="157"/>
      <c r="R48" s="157"/>
      <c r="S48" s="157"/>
      <c r="T48" s="157"/>
      <c r="U48" s="107"/>
    </row>
    <row r="49" spans="1:21" ht="12.6" customHeight="1" x14ac:dyDescent="0.2">
      <c r="A49" s="13">
        <v>35</v>
      </c>
      <c r="B49" s="16"/>
      <c r="C49" s="27" t="s">
        <v>196</v>
      </c>
      <c r="D49" s="16"/>
      <c r="E49" s="20">
        <f t="shared" si="14"/>
        <v>11.6</v>
      </c>
      <c r="F49" s="20">
        <f t="shared" si="13"/>
        <v>11.2</v>
      </c>
      <c r="G49" s="20">
        <f>14-2.4</f>
        <v>11.6</v>
      </c>
      <c r="H49" s="20">
        <v>11.2</v>
      </c>
      <c r="I49" s="20">
        <f>0.5-0.2</f>
        <v>0.3</v>
      </c>
      <c r="J49" s="32">
        <f>0.3-0.1</f>
        <v>0.19999999999999998</v>
      </c>
      <c r="K49" s="20"/>
      <c r="L49" s="157">
        <f t="shared" si="1"/>
        <v>-2.4</v>
      </c>
      <c r="M49" s="3">
        <v>-2.4</v>
      </c>
      <c r="N49" s="3">
        <v>-0.2</v>
      </c>
      <c r="P49" s="157">
        <f t="shared" si="2"/>
        <v>0</v>
      </c>
      <c r="Q49" s="157"/>
      <c r="R49" s="157"/>
      <c r="S49" s="157"/>
      <c r="T49" s="157"/>
      <c r="U49" s="107"/>
    </row>
    <row r="50" spans="1:21" ht="12.6" customHeight="1" x14ac:dyDescent="0.2">
      <c r="A50" s="13">
        <v>36</v>
      </c>
      <c r="B50" s="16"/>
      <c r="C50" s="27" t="s">
        <v>197</v>
      </c>
      <c r="D50" s="16"/>
      <c r="E50" s="20">
        <f t="shared" si="14"/>
        <v>13.5</v>
      </c>
      <c r="F50" s="20">
        <f t="shared" si="13"/>
        <v>14.1</v>
      </c>
      <c r="G50" s="20">
        <f>12.9+0.6</f>
        <v>13.5</v>
      </c>
      <c r="H50" s="20">
        <v>14.1</v>
      </c>
      <c r="I50" s="20">
        <f>0.5-0.1</f>
        <v>0.4</v>
      </c>
      <c r="J50" s="20">
        <v>0.4</v>
      </c>
      <c r="K50" s="20"/>
      <c r="L50" s="157">
        <f t="shared" si="1"/>
        <v>0.6</v>
      </c>
      <c r="M50" s="3">
        <v>0.6</v>
      </c>
      <c r="N50" s="3">
        <v>-0.1</v>
      </c>
      <c r="P50" s="157">
        <f t="shared" si="2"/>
        <v>0</v>
      </c>
      <c r="Q50" s="157"/>
      <c r="R50" s="157"/>
      <c r="S50" s="157"/>
      <c r="T50" s="157"/>
      <c r="U50" s="107"/>
    </row>
    <row r="51" spans="1:21" ht="12.6" customHeight="1" x14ac:dyDescent="0.2">
      <c r="A51" s="13">
        <v>37</v>
      </c>
      <c r="B51" s="16"/>
      <c r="C51" s="40" t="s">
        <v>198</v>
      </c>
      <c r="D51" s="16"/>
      <c r="E51" s="20">
        <f t="shared" si="14"/>
        <v>5.7</v>
      </c>
      <c r="F51" s="20">
        <f t="shared" si="13"/>
        <v>5.7</v>
      </c>
      <c r="G51" s="20">
        <f>5.5+0.2</f>
        <v>5.7</v>
      </c>
      <c r="H51" s="20">
        <v>5.7</v>
      </c>
      <c r="I51" s="20">
        <v>0.2</v>
      </c>
      <c r="J51" s="20">
        <v>0.2</v>
      </c>
      <c r="K51" s="167"/>
      <c r="L51" s="157">
        <f t="shared" si="1"/>
        <v>0.2</v>
      </c>
      <c r="M51" s="3">
        <v>0.2</v>
      </c>
      <c r="P51" s="157">
        <f t="shared" si="2"/>
        <v>0</v>
      </c>
      <c r="Q51" s="157"/>
      <c r="R51" s="157"/>
      <c r="S51" s="157"/>
      <c r="T51" s="157"/>
      <c r="U51" s="107"/>
    </row>
    <row r="52" spans="1:21" ht="12.6" customHeight="1" x14ac:dyDescent="0.2">
      <c r="A52" s="13">
        <v>38</v>
      </c>
      <c r="B52" s="16"/>
      <c r="C52" s="27" t="s">
        <v>199</v>
      </c>
      <c r="D52" s="16"/>
      <c r="E52" s="20">
        <f t="shared" si="14"/>
        <v>7.8</v>
      </c>
      <c r="F52" s="20">
        <f t="shared" si="13"/>
        <v>7.8</v>
      </c>
      <c r="G52" s="20">
        <f>7+0.8</f>
        <v>7.8</v>
      </c>
      <c r="H52" s="20">
        <v>7.8</v>
      </c>
      <c r="I52" s="20">
        <f>0.3-0.1</f>
        <v>0.19999999999999998</v>
      </c>
      <c r="J52" s="20">
        <v>0.2</v>
      </c>
      <c r="K52" s="20"/>
      <c r="L52" s="157">
        <f t="shared" si="1"/>
        <v>0.8</v>
      </c>
      <c r="M52" s="3">
        <v>0.8</v>
      </c>
      <c r="N52" s="3">
        <v>-0.1</v>
      </c>
      <c r="P52" s="157">
        <f t="shared" si="2"/>
        <v>0</v>
      </c>
      <c r="Q52" s="157"/>
      <c r="R52" s="157"/>
      <c r="S52" s="157"/>
      <c r="T52" s="157"/>
      <c r="U52" s="107"/>
    </row>
    <row r="53" spans="1:21" ht="12.6" customHeight="1" x14ac:dyDescent="0.2">
      <c r="A53" s="13">
        <v>39</v>
      </c>
      <c r="B53" s="16"/>
      <c r="C53" s="27" t="s">
        <v>200</v>
      </c>
      <c r="D53" s="16"/>
      <c r="E53" s="20">
        <f t="shared" si="14"/>
        <v>10.1</v>
      </c>
      <c r="F53" s="20">
        <f t="shared" si="13"/>
        <v>10.8</v>
      </c>
      <c r="G53" s="20">
        <f>12-1.9</f>
        <v>10.1</v>
      </c>
      <c r="H53" s="20">
        <v>10.8</v>
      </c>
      <c r="I53" s="20">
        <f>0.5-0.2</f>
        <v>0.3</v>
      </c>
      <c r="J53" s="20">
        <v>0.2</v>
      </c>
      <c r="K53" s="20"/>
      <c r="L53" s="157">
        <f t="shared" si="1"/>
        <v>-1.9</v>
      </c>
      <c r="M53" s="3">
        <v>-1.9</v>
      </c>
      <c r="N53" s="3">
        <v>-0.2</v>
      </c>
      <c r="P53" s="157">
        <f t="shared" si="2"/>
        <v>0</v>
      </c>
      <c r="Q53" s="157"/>
      <c r="R53" s="157"/>
      <c r="S53" s="157"/>
      <c r="T53" s="157"/>
      <c r="U53" s="107"/>
    </row>
    <row r="54" spans="1:21" ht="12.6" customHeight="1" x14ac:dyDescent="0.2">
      <c r="A54" s="13">
        <v>40</v>
      </c>
      <c r="B54" s="16"/>
      <c r="C54" s="27" t="s">
        <v>201</v>
      </c>
      <c r="D54" s="16"/>
      <c r="E54" s="20">
        <f t="shared" si="14"/>
        <v>5.6999999999999993</v>
      </c>
      <c r="F54" s="20">
        <f t="shared" si="13"/>
        <v>5.6</v>
      </c>
      <c r="G54" s="20">
        <f>5.6+0.1</f>
        <v>5.6999999999999993</v>
      </c>
      <c r="H54" s="20">
        <v>5.6</v>
      </c>
      <c r="I54" s="20">
        <v>0.2</v>
      </c>
      <c r="J54" s="20">
        <v>0.2</v>
      </c>
      <c r="K54" s="20"/>
      <c r="L54" s="157">
        <f t="shared" si="1"/>
        <v>0.1</v>
      </c>
      <c r="M54" s="3">
        <v>0.1</v>
      </c>
      <c r="P54" s="157">
        <f t="shared" si="2"/>
        <v>0</v>
      </c>
      <c r="Q54" s="157"/>
      <c r="R54" s="157"/>
      <c r="S54" s="157"/>
      <c r="T54" s="157"/>
      <c r="U54" s="107"/>
    </row>
    <row r="55" spans="1:21" ht="12.6" customHeight="1" x14ac:dyDescent="0.2">
      <c r="A55" s="13">
        <v>41</v>
      </c>
      <c r="B55" s="16"/>
      <c r="C55" s="27" t="s">
        <v>202</v>
      </c>
      <c r="D55" s="16"/>
      <c r="E55" s="20">
        <f t="shared" si="14"/>
        <v>13.999999999999998</v>
      </c>
      <c r="F55" s="20">
        <f t="shared" si="13"/>
        <v>13.8</v>
      </c>
      <c r="G55" s="20">
        <f>18.4-4.4</f>
        <v>13.999999999999998</v>
      </c>
      <c r="H55" s="20">
        <v>13.8</v>
      </c>
      <c r="I55" s="20">
        <f>0.7-0.3</f>
        <v>0.39999999999999997</v>
      </c>
      <c r="J55" s="20">
        <v>0.4</v>
      </c>
      <c r="K55" s="20"/>
      <c r="L55" s="157">
        <f t="shared" si="1"/>
        <v>-4.4000000000000004</v>
      </c>
      <c r="M55" s="3">
        <v>-4.4000000000000004</v>
      </c>
      <c r="N55" s="3">
        <v>-0.3</v>
      </c>
      <c r="P55" s="157">
        <f t="shared" si="2"/>
        <v>0</v>
      </c>
      <c r="Q55" s="157"/>
      <c r="R55" s="157"/>
      <c r="S55" s="157"/>
      <c r="T55" s="157"/>
      <c r="U55" s="107"/>
    </row>
    <row r="56" spans="1:21" ht="29.25" customHeight="1" x14ac:dyDescent="0.2">
      <c r="A56" s="13">
        <v>42</v>
      </c>
      <c r="B56" s="16" t="s">
        <v>607</v>
      </c>
      <c r="C56" s="92" t="s">
        <v>608</v>
      </c>
      <c r="D56" s="16" t="s">
        <v>547</v>
      </c>
      <c r="E56" s="166">
        <f t="shared" ref="E56:J56" si="15">+E57</f>
        <v>378.6</v>
      </c>
      <c r="F56" s="166">
        <f t="shared" si="15"/>
        <v>373.4</v>
      </c>
      <c r="G56" s="166">
        <f t="shared" si="15"/>
        <v>378.6</v>
      </c>
      <c r="H56" s="166">
        <f t="shared" si="15"/>
        <v>373.4</v>
      </c>
      <c r="I56" s="166">
        <f t="shared" si="15"/>
        <v>10.7</v>
      </c>
      <c r="J56" s="166">
        <f t="shared" si="15"/>
        <v>10.5</v>
      </c>
      <c r="K56" s="166"/>
      <c r="L56" s="157">
        <f t="shared" si="1"/>
        <v>0</v>
      </c>
      <c r="P56" s="157">
        <f t="shared" si="2"/>
        <v>0</v>
      </c>
      <c r="Q56" s="157"/>
      <c r="R56" s="157"/>
      <c r="S56" s="157"/>
      <c r="T56" s="157"/>
      <c r="U56" s="107"/>
    </row>
    <row r="57" spans="1:21" ht="12.6" customHeight="1" x14ac:dyDescent="0.2">
      <c r="A57" s="13">
        <v>43</v>
      </c>
      <c r="B57" s="16"/>
      <c r="C57" s="113" t="s">
        <v>61</v>
      </c>
      <c r="D57" s="16"/>
      <c r="E57" s="20">
        <f t="shared" si="14"/>
        <v>378.6</v>
      </c>
      <c r="F57" s="20">
        <v>373.4</v>
      </c>
      <c r="G57" s="20">
        <f>418.1-19.5-20</f>
        <v>378.6</v>
      </c>
      <c r="H57" s="20">
        <v>373.4</v>
      </c>
      <c r="I57" s="20">
        <v>10.7</v>
      </c>
      <c r="J57" s="20">
        <v>10.5</v>
      </c>
      <c r="K57" s="20"/>
      <c r="L57" s="157">
        <f t="shared" si="1"/>
        <v>0</v>
      </c>
      <c r="P57" s="157">
        <f t="shared" si="2"/>
        <v>0</v>
      </c>
      <c r="Q57" s="157"/>
      <c r="R57" s="157"/>
      <c r="S57" s="157"/>
      <c r="T57" s="157"/>
      <c r="U57" s="107"/>
    </row>
    <row r="58" spans="1:21" ht="24.95" customHeight="1" x14ac:dyDescent="0.2">
      <c r="A58" s="13">
        <v>44</v>
      </c>
      <c r="B58" s="16" t="s">
        <v>609</v>
      </c>
      <c r="C58" s="92" t="s">
        <v>610</v>
      </c>
      <c r="D58" s="16" t="s">
        <v>156</v>
      </c>
      <c r="E58" s="166">
        <f>+E59</f>
        <v>0.1</v>
      </c>
      <c r="F58" s="168">
        <f>+F59</f>
        <v>0</v>
      </c>
      <c r="G58" s="166">
        <f>+G59</f>
        <v>0.1</v>
      </c>
      <c r="H58" s="168">
        <f>+H59</f>
        <v>0</v>
      </c>
      <c r="I58" s="166">
        <f>+I59</f>
        <v>0</v>
      </c>
      <c r="J58" s="166"/>
      <c r="K58" s="166"/>
      <c r="L58" s="157">
        <f t="shared" si="1"/>
        <v>0</v>
      </c>
      <c r="P58" s="157">
        <f t="shared" si="2"/>
        <v>0</v>
      </c>
      <c r="Q58" s="157"/>
      <c r="R58" s="157"/>
      <c r="S58" s="157"/>
      <c r="T58" s="157"/>
      <c r="U58" s="107"/>
    </row>
    <row r="59" spans="1:21" ht="12.6" customHeight="1" x14ac:dyDescent="0.2">
      <c r="A59" s="13">
        <v>45</v>
      </c>
      <c r="B59" s="16"/>
      <c r="C59" s="113" t="s">
        <v>61</v>
      </c>
      <c r="D59" s="16"/>
      <c r="E59" s="20">
        <f>+G59+K59</f>
        <v>0.1</v>
      </c>
      <c r="F59" s="57">
        <v>0</v>
      </c>
      <c r="G59" s="20">
        <v>0.1</v>
      </c>
      <c r="H59" s="57">
        <v>0</v>
      </c>
      <c r="I59" s="20"/>
      <c r="J59" s="20"/>
      <c r="K59" s="20"/>
      <c r="L59" s="157">
        <f t="shared" si="1"/>
        <v>0</v>
      </c>
      <c r="P59" s="157">
        <f t="shared" si="2"/>
        <v>0</v>
      </c>
      <c r="Q59" s="157"/>
      <c r="R59" s="157"/>
      <c r="S59" s="157"/>
      <c r="T59" s="157"/>
      <c r="U59" s="107"/>
    </row>
    <row r="60" spans="1:21" ht="20.100000000000001" customHeight="1" x14ac:dyDescent="0.2">
      <c r="A60" s="13">
        <v>46</v>
      </c>
      <c r="B60" s="11" t="s">
        <v>447</v>
      </c>
      <c r="C60" s="51" t="s">
        <v>448</v>
      </c>
      <c r="D60" s="16"/>
      <c r="E60" s="52">
        <f>+G60+K60</f>
        <v>577.09999999999991</v>
      </c>
      <c r="F60" s="52">
        <f>+H60+L60</f>
        <v>575.59999999999991</v>
      </c>
      <c r="G60" s="52">
        <f>+G61+G73+G76</f>
        <v>577.09999999999991</v>
      </c>
      <c r="H60" s="52">
        <f>+H61+H73+H76</f>
        <v>575.59999999999991</v>
      </c>
      <c r="I60" s="52">
        <f>+I61+I73+I76</f>
        <v>201.89999999999992</v>
      </c>
      <c r="J60" s="52">
        <f>+J61+J73+J76</f>
        <v>200.39999999999992</v>
      </c>
      <c r="K60" s="155">
        <v>0</v>
      </c>
      <c r="L60" s="157">
        <f t="shared" si="1"/>
        <v>0</v>
      </c>
      <c r="M60" s="22"/>
      <c r="N60" s="157"/>
      <c r="O60" s="22"/>
      <c r="P60" s="157">
        <f t="shared" si="2"/>
        <v>0</v>
      </c>
      <c r="Q60" s="157"/>
      <c r="R60" s="157"/>
      <c r="S60" s="157"/>
      <c r="T60" s="157"/>
      <c r="U60" s="225">
        <v>0</v>
      </c>
    </row>
    <row r="61" spans="1:21" ht="12.6" customHeight="1" x14ac:dyDescent="0.2">
      <c r="A61" s="13">
        <v>47</v>
      </c>
      <c r="B61" s="16" t="s">
        <v>611</v>
      </c>
      <c r="C61" s="92" t="s">
        <v>612</v>
      </c>
      <c r="D61" s="16" t="s">
        <v>613</v>
      </c>
      <c r="E61" s="166">
        <f t="shared" ref="E61:J61" si="16">SUM(E62:E72)</f>
        <v>205.19999999999996</v>
      </c>
      <c r="F61" s="166">
        <f t="shared" si="16"/>
        <v>203.69999999999996</v>
      </c>
      <c r="G61" s="166">
        <f t="shared" si="16"/>
        <v>205.19999999999996</v>
      </c>
      <c r="H61" s="166">
        <f t="shared" si="16"/>
        <v>203.69999999999996</v>
      </c>
      <c r="I61" s="166">
        <f t="shared" si="16"/>
        <v>188.19999999999993</v>
      </c>
      <c r="J61" s="166">
        <f t="shared" si="16"/>
        <v>186.69999999999993</v>
      </c>
      <c r="K61" s="166"/>
      <c r="L61" s="157">
        <f t="shared" si="1"/>
        <v>0</v>
      </c>
      <c r="P61" s="157">
        <f t="shared" si="2"/>
        <v>0</v>
      </c>
      <c r="Q61" s="157"/>
      <c r="R61" s="157"/>
      <c r="S61" s="157"/>
      <c r="T61" s="157"/>
      <c r="U61" s="107"/>
    </row>
    <row r="62" spans="1:21" ht="12.6" customHeight="1" x14ac:dyDescent="0.2">
      <c r="A62" s="13">
        <v>48</v>
      </c>
      <c r="B62" s="16"/>
      <c r="C62" s="113" t="s">
        <v>61</v>
      </c>
      <c r="D62" s="16"/>
      <c r="E62" s="20">
        <f>+G62+K62</f>
        <v>132.19999999999999</v>
      </c>
      <c r="F62" s="20">
        <v>132.19999999999999</v>
      </c>
      <c r="G62" s="20">
        <v>132.19999999999999</v>
      </c>
      <c r="H62" s="20">
        <v>132.19999999999999</v>
      </c>
      <c r="I62" s="20">
        <v>116.3</v>
      </c>
      <c r="J62" s="20">
        <v>116.3</v>
      </c>
      <c r="K62" s="20"/>
      <c r="L62" s="157">
        <f t="shared" si="1"/>
        <v>0</v>
      </c>
      <c r="P62" s="157">
        <f t="shared" si="2"/>
        <v>0</v>
      </c>
      <c r="Q62" s="157"/>
      <c r="R62" s="157"/>
      <c r="S62" s="157"/>
      <c r="T62" s="157"/>
      <c r="U62" s="107"/>
    </row>
    <row r="63" spans="1:21" ht="12.6" customHeight="1" x14ac:dyDescent="0.2">
      <c r="A63" s="13">
        <v>49</v>
      </c>
      <c r="B63" s="16"/>
      <c r="C63" s="27" t="s">
        <v>192</v>
      </c>
      <c r="D63" s="16"/>
      <c r="E63" s="20">
        <f t="shared" ref="E63:E72" si="17">+G63+K63</f>
        <v>7.7</v>
      </c>
      <c r="F63" s="20">
        <v>7.7</v>
      </c>
      <c r="G63" s="20">
        <v>7.7</v>
      </c>
      <c r="H63" s="20">
        <v>7.7</v>
      </c>
      <c r="I63" s="20">
        <v>7.6</v>
      </c>
      <c r="J63" s="20">
        <v>7.6</v>
      </c>
      <c r="K63" s="20"/>
      <c r="L63" s="157">
        <f t="shared" si="1"/>
        <v>0</v>
      </c>
      <c r="P63" s="157">
        <f t="shared" si="2"/>
        <v>0</v>
      </c>
      <c r="Q63" s="157"/>
      <c r="R63" s="157"/>
      <c r="S63" s="157"/>
      <c r="T63" s="157"/>
      <c r="U63" s="107"/>
    </row>
    <row r="64" spans="1:21" ht="12.6" customHeight="1" x14ac:dyDescent="0.2">
      <c r="A64" s="13">
        <v>50</v>
      </c>
      <c r="B64" s="16"/>
      <c r="C64" s="27" t="s">
        <v>194</v>
      </c>
      <c r="D64" s="16"/>
      <c r="E64" s="20">
        <f t="shared" si="17"/>
        <v>5.5</v>
      </c>
      <c r="F64" s="20">
        <v>5.5</v>
      </c>
      <c r="G64" s="20">
        <v>5.5</v>
      </c>
      <c r="H64" s="20">
        <v>5.5</v>
      </c>
      <c r="I64" s="20">
        <v>5.4</v>
      </c>
      <c r="J64" s="20">
        <v>5.4</v>
      </c>
      <c r="K64" s="20"/>
      <c r="L64" s="157">
        <f t="shared" si="1"/>
        <v>0</v>
      </c>
      <c r="P64" s="157">
        <f t="shared" si="2"/>
        <v>0</v>
      </c>
      <c r="Q64" s="157"/>
      <c r="R64" s="157"/>
      <c r="S64" s="157"/>
      <c r="T64" s="157"/>
      <c r="U64" s="107"/>
    </row>
    <row r="65" spans="1:21" ht="12.6" customHeight="1" x14ac:dyDescent="0.2">
      <c r="A65" s="13">
        <v>51</v>
      </c>
      <c r="B65" s="16"/>
      <c r="C65" s="27" t="s">
        <v>195</v>
      </c>
      <c r="D65" s="16"/>
      <c r="E65" s="20">
        <f t="shared" si="17"/>
        <v>7.7</v>
      </c>
      <c r="F65" s="20">
        <v>7.7</v>
      </c>
      <c r="G65" s="20">
        <v>7.7</v>
      </c>
      <c r="H65" s="20">
        <v>7.7</v>
      </c>
      <c r="I65" s="20">
        <v>7.6</v>
      </c>
      <c r="J65" s="20">
        <v>7.6</v>
      </c>
      <c r="K65" s="20"/>
      <c r="L65" s="157">
        <f t="shared" si="1"/>
        <v>0</v>
      </c>
      <c r="P65" s="157">
        <f t="shared" si="2"/>
        <v>0</v>
      </c>
      <c r="Q65" s="157"/>
      <c r="R65" s="157"/>
      <c r="S65" s="157"/>
      <c r="T65" s="157"/>
      <c r="U65" s="107"/>
    </row>
    <row r="66" spans="1:21" ht="12.6" customHeight="1" x14ac:dyDescent="0.2">
      <c r="A66" s="13">
        <v>52</v>
      </c>
      <c r="B66" s="16"/>
      <c r="C66" s="27" t="s">
        <v>196</v>
      </c>
      <c r="D66" s="16"/>
      <c r="E66" s="20">
        <f t="shared" si="17"/>
        <v>9.6</v>
      </c>
      <c r="F66" s="20">
        <v>9.6</v>
      </c>
      <c r="G66" s="20">
        <v>9.6</v>
      </c>
      <c r="H66" s="20">
        <v>9.6</v>
      </c>
      <c r="I66" s="20">
        <v>9.5</v>
      </c>
      <c r="J66" s="20">
        <v>9.5</v>
      </c>
      <c r="K66" s="20"/>
      <c r="L66" s="157">
        <f t="shared" si="1"/>
        <v>0</v>
      </c>
      <c r="P66" s="157">
        <f t="shared" si="2"/>
        <v>0</v>
      </c>
      <c r="Q66" s="157"/>
      <c r="R66" s="157"/>
      <c r="S66" s="157"/>
      <c r="T66" s="157"/>
      <c r="U66" s="107"/>
    </row>
    <row r="67" spans="1:21" ht="12.6" customHeight="1" x14ac:dyDescent="0.2">
      <c r="A67" s="13">
        <v>53</v>
      </c>
      <c r="B67" s="16"/>
      <c r="C67" s="27" t="s">
        <v>197</v>
      </c>
      <c r="D67" s="16"/>
      <c r="E67" s="20">
        <f t="shared" si="17"/>
        <v>7.8</v>
      </c>
      <c r="F67" s="20">
        <v>7.8</v>
      </c>
      <c r="G67" s="20">
        <v>7.8</v>
      </c>
      <c r="H67" s="20">
        <v>7.8</v>
      </c>
      <c r="I67" s="20">
        <v>7.7</v>
      </c>
      <c r="J67" s="20">
        <v>7.7</v>
      </c>
      <c r="K67" s="20"/>
      <c r="L67" s="157">
        <f t="shared" si="1"/>
        <v>0</v>
      </c>
      <c r="P67" s="157">
        <f t="shared" si="2"/>
        <v>0</v>
      </c>
      <c r="Q67" s="157"/>
      <c r="R67" s="157"/>
      <c r="S67" s="157"/>
      <c r="T67" s="157"/>
      <c r="U67" s="107"/>
    </row>
    <row r="68" spans="1:21" ht="12.6" customHeight="1" x14ac:dyDescent="0.2">
      <c r="A68" s="13">
        <v>54</v>
      </c>
      <c r="B68" s="16"/>
      <c r="C68" s="40" t="s">
        <v>198</v>
      </c>
      <c r="D68" s="16"/>
      <c r="E68" s="20">
        <f t="shared" si="17"/>
        <v>7.3</v>
      </c>
      <c r="F68" s="20">
        <v>5.8</v>
      </c>
      <c r="G68" s="20">
        <v>7.3</v>
      </c>
      <c r="H68" s="20">
        <v>5.8</v>
      </c>
      <c r="I68" s="20">
        <f>7.2-0.1</f>
        <v>7.1000000000000005</v>
      </c>
      <c r="J68" s="20">
        <v>5.6</v>
      </c>
      <c r="K68" s="20"/>
      <c r="L68" s="157">
        <f t="shared" si="1"/>
        <v>0</v>
      </c>
      <c r="P68" s="157">
        <f t="shared" si="2"/>
        <v>0</v>
      </c>
      <c r="Q68" s="157"/>
      <c r="R68" s="157"/>
      <c r="S68" s="157"/>
      <c r="T68" s="157"/>
      <c r="U68" s="107"/>
    </row>
    <row r="69" spans="1:21" ht="12.6" customHeight="1" x14ac:dyDescent="0.2">
      <c r="A69" s="13">
        <v>55</v>
      </c>
      <c r="B69" s="16"/>
      <c r="C69" s="27" t="s">
        <v>199</v>
      </c>
      <c r="D69" s="16"/>
      <c r="E69" s="20">
        <f t="shared" si="17"/>
        <v>5.8</v>
      </c>
      <c r="F69" s="32">
        <f>5.8</f>
        <v>5.8</v>
      </c>
      <c r="G69" s="20">
        <v>5.8</v>
      </c>
      <c r="H69" s="20">
        <v>5.8</v>
      </c>
      <c r="I69" s="20">
        <v>5.7</v>
      </c>
      <c r="J69" s="20">
        <v>5.7</v>
      </c>
      <c r="K69" s="20"/>
      <c r="L69" s="157">
        <f t="shared" si="1"/>
        <v>0</v>
      </c>
      <c r="P69" s="157">
        <f t="shared" si="2"/>
        <v>0</v>
      </c>
      <c r="Q69" s="157"/>
      <c r="R69" s="157"/>
      <c r="S69" s="157"/>
      <c r="T69" s="157"/>
      <c r="U69" s="107"/>
    </row>
    <row r="70" spans="1:21" ht="12.6" customHeight="1" x14ac:dyDescent="0.2">
      <c r="A70" s="13">
        <v>56</v>
      </c>
      <c r="B70" s="16"/>
      <c r="C70" s="27" t="s">
        <v>200</v>
      </c>
      <c r="D70" s="16"/>
      <c r="E70" s="20">
        <f t="shared" si="17"/>
        <v>7.7</v>
      </c>
      <c r="F70" s="20">
        <v>7.7</v>
      </c>
      <c r="G70" s="20">
        <v>7.7</v>
      </c>
      <c r="H70" s="20">
        <v>7.7</v>
      </c>
      <c r="I70" s="20">
        <v>7.6</v>
      </c>
      <c r="J70" s="20">
        <v>7.6</v>
      </c>
      <c r="K70" s="20"/>
      <c r="L70" s="157">
        <f t="shared" si="1"/>
        <v>0</v>
      </c>
      <c r="P70" s="157">
        <f t="shared" si="2"/>
        <v>0</v>
      </c>
      <c r="Q70" s="157"/>
      <c r="R70" s="157"/>
      <c r="S70" s="157"/>
      <c r="T70" s="157"/>
      <c r="U70" s="107"/>
    </row>
    <row r="71" spans="1:21" ht="12.6" customHeight="1" x14ac:dyDescent="0.2">
      <c r="A71" s="13">
        <v>57</v>
      </c>
      <c r="B71" s="16"/>
      <c r="C71" s="27" t="s">
        <v>201</v>
      </c>
      <c r="D71" s="16"/>
      <c r="E71" s="20">
        <f t="shared" si="17"/>
        <v>6.2</v>
      </c>
      <c r="F71" s="32">
        <f>6.2</f>
        <v>6.2</v>
      </c>
      <c r="G71" s="20">
        <v>6.2</v>
      </c>
      <c r="H71" s="32">
        <f>6.2</f>
        <v>6.2</v>
      </c>
      <c r="I71" s="20">
        <v>6.1</v>
      </c>
      <c r="J71" s="20">
        <v>6.1</v>
      </c>
      <c r="K71" s="20"/>
      <c r="L71" s="157">
        <f t="shared" si="1"/>
        <v>0</v>
      </c>
      <c r="P71" s="157">
        <f t="shared" si="2"/>
        <v>0</v>
      </c>
      <c r="Q71" s="157"/>
      <c r="R71" s="157"/>
      <c r="S71" s="157"/>
      <c r="T71" s="157"/>
      <c r="U71" s="107"/>
    </row>
    <row r="72" spans="1:21" ht="12.6" customHeight="1" x14ac:dyDescent="0.2">
      <c r="A72" s="13">
        <v>58</v>
      </c>
      <c r="B72" s="16"/>
      <c r="C72" s="27" t="s">
        <v>202</v>
      </c>
      <c r="D72" s="16"/>
      <c r="E72" s="20">
        <f t="shared" si="17"/>
        <v>7.7</v>
      </c>
      <c r="F72" s="20">
        <v>7.7</v>
      </c>
      <c r="G72" s="20">
        <v>7.7</v>
      </c>
      <c r="H72" s="20">
        <v>7.7</v>
      </c>
      <c r="I72" s="20">
        <v>7.6</v>
      </c>
      <c r="J72" s="20">
        <v>7.6</v>
      </c>
      <c r="K72" s="20"/>
      <c r="L72" s="157">
        <f t="shared" si="1"/>
        <v>0</v>
      </c>
      <c r="P72" s="157">
        <f t="shared" si="2"/>
        <v>0</v>
      </c>
      <c r="Q72" s="157"/>
      <c r="R72" s="157"/>
      <c r="S72" s="157"/>
      <c r="T72" s="157"/>
      <c r="U72" s="107"/>
    </row>
    <row r="73" spans="1:21" ht="72" customHeight="1" x14ac:dyDescent="0.2">
      <c r="A73" s="260">
        <v>59</v>
      </c>
      <c r="B73" s="262" t="s">
        <v>614</v>
      </c>
      <c r="C73" s="59" t="s">
        <v>615</v>
      </c>
      <c r="D73" s="262"/>
      <c r="E73" s="166">
        <f>+E75</f>
        <v>358</v>
      </c>
      <c r="F73" s="166">
        <f>+F75</f>
        <v>358</v>
      </c>
      <c r="G73" s="166">
        <f>+G75</f>
        <v>358</v>
      </c>
      <c r="H73" s="166">
        <f>+H75</f>
        <v>358</v>
      </c>
      <c r="I73" s="166">
        <f>+I75</f>
        <v>0</v>
      </c>
      <c r="J73" s="166"/>
      <c r="K73" s="166">
        <f>+K75</f>
        <v>0</v>
      </c>
      <c r="L73" s="157">
        <f t="shared" si="1"/>
        <v>0</v>
      </c>
      <c r="P73" s="157">
        <f t="shared" si="2"/>
        <v>0</v>
      </c>
      <c r="Q73" s="157"/>
      <c r="R73" s="157"/>
      <c r="S73" s="157"/>
      <c r="T73" s="157"/>
      <c r="U73" s="107"/>
    </row>
    <row r="74" spans="1:21" x14ac:dyDescent="0.2">
      <c r="A74" s="261"/>
      <c r="B74" s="263"/>
      <c r="C74" s="59" t="s">
        <v>616</v>
      </c>
      <c r="D74" s="263"/>
      <c r="E74" s="166">
        <f>+G74+K74</f>
        <v>10</v>
      </c>
      <c r="F74" s="166">
        <v>10</v>
      </c>
      <c r="G74" s="166">
        <v>10</v>
      </c>
      <c r="H74" s="166">
        <v>10</v>
      </c>
      <c r="I74" s="166"/>
      <c r="J74" s="166"/>
      <c r="K74" s="166"/>
      <c r="L74" s="157">
        <f t="shared" si="1"/>
        <v>0</v>
      </c>
      <c r="P74" s="157">
        <f t="shared" si="2"/>
        <v>0</v>
      </c>
      <c r="Q74" s="157"/>
      <c r="R74" s="157"/>
      <c r="S74" s="157"/>
      <c r="T74" s="157"/>
      <c r="U74" s="107"/>
    </row>
    <row r="75" spans="1:21" ht="12.6" customHeight="1" x14ac:dyDescent="0.2">
      <c r="A75" s="13">
        <v>60</v>
      </c>
      <c r="B75" s="16"/>
      <c r="C75" s="113" t="s">
        <v>61</v>
      </c>
      <c r="D75" s="16" t="s">
        <v>617</v>
      </c>
      <c r="E75" s="20">
        <f>+G75+K75</f>
        <v>358</v>
      </c>
      <c r="F75" s="20">
        <v>358</v>
      </c>
      <c r="G75" s="20">
        <v>358</v>
      </c>
      <c r="H75" s="20">
        <v>358</v>
      </c>
      <c r="I75" s="20"/>
      <c r="J75" s="20"/>
      <c r="K75" s="20"/>
      <c r="L75" s="157">
        <f t="shared" si="1"/>
        <v>0</v>
      </c>
      <c r="P75" s="157">
        <f t="shared" si="2"/>
        <v>0</v>
      </c>
      <c r="Q75" s="157"/>
      <c r="R75" s="157"/>
      <c r="S75" s="157"/>
      <c r="T75" s="157"/>
      <c r="U75" s="107"/>
    </row>
    <row r="76" spans="1:21" ht="13.5" customHeight="1" x14ac:dyDescent="0.2">
      <c r="A76" s="71" t="s">
        <v>618</v>
      </c>
      <c r="B76" s="16"/>
      <c r="C76" s="60" t="s">
        <v>619</v>
      </c>
      <c r="D76" s="16" t="s">
        <v>620</v>
      </c>
      <c r="E76" s="20">
        <f>+G76+K76</f>
        <v>13.9</v>
      </c>
      <c r="F76" s="20">
        <f>+H76+L76</f>
        <v>13.9</v>
      </c>
      <c r="G76" s="20">
        <f>+G77</f>
        <v>13.9</v>
      </c>
      <c r="H76" s="20">
        <f>+H77</f>
        <v>13.9</v>
      </c>
      <c r="I76" s="20">
        <f>+I77</f>
        <v>13.7</v>
      </c>
      <c r="J76" s="20">
        <f>+J77</f>
        <v>13.7</v>
      </c>
      <c r="K76" s="20">
        <f>+K77</f>
        <v>0</v>
      </c>
      <c r="L76" s="157">
        <f t="shared" si="1"/>
        <v>0</v>
      </c>
      <c r="P76" s="157">
        <f t="shared" si="2"/>
        <v>0</v>
      </c>
      <c r="Q76" s="157"/>
      <c r="R76" s="157"/>
      <c r="S76" s="157"/>
      <c r="T76" s="157"/>
      <c r="U76" s="107"/>
    </row>
    <row r="77" spans="1:21" ht="13.5" customHeight="1" x14ac:dyDescent="0.2">
      <c r="A77" s="71" t="s">
        <v>621</v>
      </c>
      <c r="B77" s="16"/>
      <c r="C77" s="27" t="s">
        <v>61</v>
      </c>
      <c r="D77" s="16"/>
      <c r="E77" s="20">
        <f>+G77+K77</f>
        <v>13.9</v>
      </c>
      <c r="F77" s="20">
        <v>13.9</v>
      </c>
      <c r="G77" s="20">
        <v>13.9</v>
      </c>
      <c r="H77" s="20">
        <v>13.9</v>
      </c>
      <c r="I77" s="20">
        <v>13.7</v>
      </c>
      <c r="J77" s="20">
        <v>13.7</v>
      </c>
      <c r="K77" s="20"/>
      <c r="L77" s="157">
        <f t="shared" si="1"/>
        <v>0</v>
      </c>
      <c r="P77" s="157">
        <f t="shared" si="2"/>
        <v>0</v>
      </c>
      <c r="Q77" s="157"/>
      <c r="R77" s="157"/>
      <c r="S77" s="157"/>
      <c r="T77" s="157"/>
      <c r="U77" s="107"/>
    </row>
    <row r="78" spans="1:21" ht="20.100000000000001" customHeight="1" x14ac:dyDescent="0.2">
      <c r="A78" s="71" t="s">
        <v>622</v>
      </c>
      <c r="B78" s="11" t="s">
        <v>462</v>
      </c>
      <c r="C78" s="51" t="s">
        <v>463</v>
      </c>
      <c r="D78" s="16"/>
      <c r="E78" s="52">
        <f>+G78+K78</f>
        <v>1081.6999999999998</v>
      </c>
      <c r="F78" s="52">
        <f>+H78+L78</f>
        <v>1073</v>
      </c>
      <c r="G78" s="52">
        <f>SUM(G79+G81+G83+G85+G87+G89+G91+G93+G95+G97+G99+G102+G114)</f>
        <v>1081.6999999999998</v>
      </c>
      <c r="H78" s="52">
        <f>SUM(H79+H81+H83+H85+H87+H89+H91+H93+H95+H97+H99+H102+H114)</f>
        <v>1073</v>
      </c>
      <c r="I78" s="52">
        <f>SUM(I79+I81+I83+I85+I87+I89+I91+I93+I95+I97+I99+I102+I114)</f>
        <v>975.00000000000011</v>
      </c>
      <c r="J78" s="52">
        <f>SUM(J79+J81+J83+J85+J87+J89+J91+J93+J95+J97+J99+J102+J114)</f>
        <v>974.50000000000011</v>
      </c>
      <c r="K78" s="155">
        <f>SUM(K79+K81+K83+K85+K87+K89+K91+K93+K95+K97+K99+K102+K114)</f>
        <v>0</v>
      </c>
      <c r="L78" s="155">
        <f t="shared" ref="L78:U78" si="18">SUM(L79+L81+L83+L85+L87+L89+L91+L93+L95+L97+L99+L102+L114)</f>
        <v>0</v>
      </c>
      <c r="M78" s="155">
        <f t="shared" si="18"/>
        <v>0</v>
      </c>
      <c r="N78" s="155">
        <f t="shared" si="18"/>
        <v>0</v>
      </c>
      <c r="O78" s="155">
        <f t="shared" si="18"/>
        <v>0</v>
      </c>
      <c r="P78" s="155">
        <f t="shared" si="18"/>
        <v>0</v>
      </c>
      <c r="Q78" s="155">
        <f t="shared" si="18"/>
        <v>0</v>
      </c>
      <c r="R78" s="155" t="e">
        <f t="shared" si="18"/>
        <v>#VALUE!</v>
      </c>
      <c r="S78" s="155">
        <f t="shared" si="18"/>
        <v>0</v>
      </c>
      <c r="T78" s="155">
        <f t="shared" si="18"/>
        <v>0</v>
      </c>
      <c r="U78" s="155">
        <f t="shared" si="18"/>
        <v>0</v>
      </c>
    </row>
    <row r="79" spans="1:21" ht="12.6" customHeight="1" x14ac:dyDescent="0.2">
      <c r="A79" s="71" t="s">
        <v>623</v>
      </c>
      <c r="B79" s="16" t="s">
        <v>553</v>
      </c>
      <c r="C79" s="92" t="s">
        <v>624</v>
      </c>
      <c r="D79" s="16" t="s">
        <v>465</v>
      </c>
      <c r="E79" s="166">
        <f t="shared" ref="E79:J79" si="19">+E80</f>
        <v>778.9</v>
      </c>
      <c r="F79" s="166">
        <f t="shared" si="19"/>
        <v>778.9</v>
      </c>
      <c r="G79" s="166">
        <f t="shared" si="19"/>
        <v>778.9</v>
      </c>
      <c r="H79" s="166">
        <f t="shared" si="19"/>
        <v>778.9</v>
      </c>
      <c r="I79" s="166">
        <f t="shared" si="19"/>
        <v>708.2</v>
      </c>
      <c r="J79" s="166">
        <f t="shared" si="19"/>
        <v>708.2</v>
      </c>
      <c r="K79" s="166"/>
      <c r="L79" s="157">
        <f t="shared" ref="L79:L115" si="20">+M79+O79</f>
        <v>0</v>
      </c>
      <c r="P79" s="157">
        <f t="shared" ref="P79:P115" si="21">+Q79+T79</f>
        <v>0</v>
      </c>
      <c r="Q79" s="157"/>
      <c r="R79" s="157"/>
      <c r="S79" s="157"/>
      <c r="T79" s="157"/>
      <c r="U79" s="107"/>
    </row>
    <row r="80" spans="1:21" ht="14.25" customHeight="1" x14ac:dyDescent="0.2">
      <c r="A80" s="71" t="s">
        <v>625</v>
      </c>
      <c r="B80" s="169"/>
      <c r="C80" s="27" t="s">
        <v>464</v>
      </c>
      <c r="D80" s="76"/>
      <c r="E80" s="20">
        <f>+G80+K80</f>
        <v>778.9</v>
      </c>
      <c r="F80" s="20">
        <v>778.9</v>
      </c>
      <c r="G80" s="20">
        <v>778.9</v>
      </c>
      <c r="H80" s="20">
        <v>778.9</v>
      </c>
      <c r="I80" s="20">
        <f>704.2+4</f>
        <v>708.2</v>
      </c>
      <c r="J80" s="20">
        <v>708.2</v>
      </c>
      <c r="K80" s="20"/>
      <c r="L80" s="157">
        <f t="shared" si="20"/>
        <v>0</v>
      </c>
      <c r="N80" s="3">
        <v>4</v>
      </c>
      <c r="P80" s="157">
        <f t="shared" si="21"/>
        <v>0</v>
      </c>
      <c r="Q80" s="157"/>
      <c r="R80" s="157"/>
      <c r="S80" s="157"/>
      <c r="T80" s="157"/>
      <c r="U80" s="107"/>
    </row>
    <row r="81" spans="1:21" ht="24.95" customHeight="1" x14ac:dyDescent="0.2">
      <c r="A81" s="71" t="s">
        <v>626</v>
      </c>
      <c r="B81" s="16" t="s">
        <v>554</v>
      </c>
      <c r="C81" s="59" t="s">
        <v>627</v>
      </c>
      <c r="D81" s="16" t="s">
        <v>628</v>
      </c>
      <c r="E81" s="166">
        <f t="shared" ref="E81:J81" si="22">SUM(E82:E82)</f>
        <v>0.8</v>
      </c>
      <c r="F81" s="166">
        <f t="shared" si="22"/>
        <v>0.8</v>
      </c>
      <c r="G81" s="166">
        <f t="shared" si="22"/>
        <v>0.8</v>
      </c>
      <c r="H81" s="166">
        <f t="shared" si="22"/>
        <v>0.8</v>
      </c>
      <c r="I81" s="166">
        <f t="shared" si="22"/>
        <v>0.8</v>
      </c>
      <c r="J81" s="166">
        <f t="shared" si="22"/>
        <v>0.8</v>
      </c>
      <c r="K81" s="166"/>
      <c r="L81" s="157">
        <f t="shared" si="20"/>
        <v>0</v>
      </c>
      <c r="P81" s="157">
        <f t="shared" si="21"/>
        <v>0</v>
      </c>
      <c r="Q81" s="157"/>
      <c r="R81" s="157"/>
      <c r="S81" s="157"/>
      <c r="T81" s="157"/>
      <c r="U81" s="107"/>
    </row>
    <row r="82" spans="1:21" ht="12.6" customHeight="1" x14ac:dyDescent="0.2">
      <c r="A82" s="71" t="s">
        <v>629</v>
      </c>
      <c r="B82" s="16"/>
      <c r="C82" s="113" t="s">
        <v>61</v>
      </c>
      <c r="D82" s="16"/>
      <c r="E82" s="20">
        <f>+G82+K82</f>
        <v>0.8</v>
      </c>
      <c r="F82" s="20">
        <v>0.8</v>
      </c>
      <c r="G82" s="20">
        <v>0.8</v>
      </c>
      <c r="H82" s="20">
        <v>0.8</v>
      </c>
      <c r="I82" s="20">
        <v>0.8</v>
      </c>
      <c r="J82" s="20">
        <v>0.8</v>
      </c>
      <c r="K82" s="20"/>
      <c r="L82" s="157">
        <f t="shared" si="20"/>
        <v>0</v>
      </c>
      <c r="P82" s="157">
        <f t="shared" si="21"/>
        <v>0</v>
      </c>
      <c r="Q82" s="157"/>
      <c r="R82" s="157"/>
      <c r="S82" s="157"/>
      <c r="T82" s="157"/>
      <c r="U82" s="107"/>
    </row>
    <row r="83" spans="1:21" ht="12.6" customHeight="1" x14ac:dyDescent="0.2">
      <c r="A83" s="71" t="s">
        <v>630</v>
      </c>
      <c r="B83" s="18" t="s">
        <v>631</v>
      </c>
      <c r="C83" s="59" t="s">
        <v>632</v>
      </c>
      <c r="D83" s="16" t="s">
        <v>628</v>
      </c>
      <c r="E83" s="164">
        <f t="shared" ref="E83:J83" si="23">+E84</f>
        <v>43.5</v>
      </c>
      <c r="F83" s="164">
        <f t="shared" si="23"/>
        <v>43.5</v>
      </c>
      <c r="G83" s="164">
        <f t="shared" si="23"/>
        <v>43.5</v>
      </c>
      <c r="H83" s="164">
        <f t="shared" si="23"/>
        <v>43.5</v>
      </c>
      <c r="I83" s="164">
        <f t="shared" si="23"/>
        <v>37.700000000000003</v>
      </c>
      <c r="J83" s="164">
        <f t="shared" si="23"/>
        <v>37.700000000000003</v>
      </c>
      <c r="K83" s="164"/>
      <c r="L83" s="157">
        <f t="shared" si="20"/>
        <v>0</v>
      </c>
      <c r="P83" s="157">
        <f t="shared" si="21"/>
        <v>0</v>
      </c>
      <c r="Q83" s="157"/>
      <c r="R83" s="157"/>
      <c r="S83" s="157"/>
      <c r="T83" s="157"/>
      <c r="U83" s="107"/>
    </row>
    <row r="84" spans="1:21" ht="12.6" customHeight="1" x14ac:dyDescent="0.2">
      <c r="A84" s="71" t="s">
        <v>633</v>
      </c>
      <c r="B84" s="16"/>
      <c r="C84" s="113" t="s">
        <v>61</v>
      </c>
      <c r="D84" s="16"/>
      <c r="E84" s="20">
        <f>+G84+K84</f>
        <v>43.5</v>
      </c>
      <c r="F84" s="20">
        <v>43.5</v>
      </c>
      <c r="G84" s="20">
        <v>43.5</v>
      </c>
      <c r="H84" s="20">
        <v>43.5</v>
      </c>
      <c r="I84" s="20">
        <v>37.700000000000003</v>
      </c>
      <c r="J84" s="20">
        <v>37.700000000000003</v>
      </c>
      <c r="K84" s="20"/>
      <c r="L84" s="157">
        <f t="shared" si="20"/>
        <v>0</v>
      </c>
      <c r="P84" s="157">
        <f t="shared" si="21"/>
        <v>0</v>
      </c>
      <c r="Q84" s="157"/>
      <c r="R84" s="157"/>
      <c r="S84" s="157"/>
      <c r="T84" s="157"/>
      <c r="U84" s="107"/>
    </row>
    <row r="85" spans="1:21" ht="12.6" customHeight="1" x14ac:dyDescent="0.2">
      <c r="A85" s="71" t="s">
        <v>634</v>
      </c>
      <c r="B85" s="16" t="s">
        <v>635</v>
      </c>
      <c r="C85" s="59" t="s">
        <v>636</v>
      </c>
      <c r="D85" s="16" t="s">
        <v>339</v>
      </c>
      <c r="E85" s="166">
        <f t="shared" ref="E85:J85" si="24">+E86</f>
        <v>32.700000000000003</v>
      </c>
      <c r="F85" s="166">
        <f t="shared" si="24"/>
        <v>32.700000000000003</v>
      </c>
      <c r="G85" s="166">
        <f t="shared" si="24"/>
        <v>32.700000000000003</v>
      </c>
      <c r="H85" s="166">
        <f t="shared" si="24"/>
        <v>32.700000000000003</v>
      </c>
      <c r="I85" s="166">
        <f t="shared" si="24"/>
        <v>32.200000000000003</v>
      </c>
      <c r="J85" s="166">
        <f t="shared" si="24"/>
        <v>32.200000000000003</v>
      </c>
      <c r="K85" s="166"/>
      <c r="L85" s="157">
        <f t="shared" si="20"/>
        <v>0</v>
      </c>
      <c r="P85" s="157">
        <f t="shared" si="21"/>
        <v>0</v>
      </c>
      <c r="Q85" s="157"/>
      <c r="R85" s="157"/>
      <c r="S85" s="157"/>
      <c r="T85" s="157"/>
      <c r="U85" s="107"/>
    </row>
    <row r="86" spans="1:21" ht="12.6" customHeight="1" x14ac:dyDescent="0.2">
      <c r="A86" s="71" t="s">
        <v>637</v>
      </c>
      <c r="B86" s="16"/>
      <c r="C86" s="113" t="s">
        <v>61</v>
      </c>
      <c r="D86" s="16"/>
      <c r="E86" s="20">
        <f>+G86+K86</f>
        <v>32.700000000000003</v>
      </c>
      <c r="F86" s="20">
        <v>32.700000000000003</v>
      </c>
      <c r="G86" s="20">
        <v>32.700000000000003</v>
      </c>
      <c r="H86" s="20">
        <v>32.700000000000003</v>
      </c>
      <c r="I86" s="20">
        <v>32.200000000000003</v>
      </c>
      <c r="J86" s="20">
        <v>32.200000000000003</v>
      </c>
      <c r="K86" s="20"/>
      <c r="L86" s="157">
        <f t="shared" si="20"/>
        <v>0</v>
      </c>
      <c r="P86" s="157">
        <f t="shared" si="21"/>
        <v>0</v>
      </c>
      <c r="Q86" s="157"/>
      <c r="R86" s="157"/>
      <c r="S86" s="157"/>
      <c r="T86" s="157"/>
      <c r="U86" s="107"/>
    </row>
    <row r="87" spans="1:21" ht="12.6" customHeight="1" x14ac:dyDescent="0.2">
      <c r="A87" s="71" t="s">
        <v>638</v>
      </c>
      <c r="B87" s="16" t="s">
        <v>639</v>
      </c>
      <c r="C87" s="59" t="s">
        <v>640</v>
      </c>
      <c r="D87" s="18" t="s">
        <v>641</v>
      </c>
      <c r="E87" s="164">
        <f t="shared" ref="E87:J87" si="25">+E88</f>
        <v>40.299999999999997</v>
      </c>
      <c r="F87" s="164">
        <f t="shared" si="25"/>
        <v>40.299999999999997</v>
      </c>
      <c r="G87" s="164">
        <f t="shared" si="25"/>
        <v>40.299999999999997</v>
      </c>
      <c r="H87" s="164">
        <f t="shared" si="25"/>
        <v>40.299999999999997</v>
      </c>
      <c r="I87" s="164">
        <f t="shared" si="25"/>
        <v>28.6</v>
      </c>
      <c r="J87" s="164">
        <f t="shared" si="25"/>
        <v>28.6</v>
      </c>
      <c r="K87" s="164"/>
      <c r="L87" s="157">
        <f t="shared" si="20"/>
        <v>0</v>
      </c>
      <c r="P87" s="157">
        <f t="shared" si="21"/>
        <v>0</v>
      </c>
      <c r="Q87" s="157"/>
      <c r="R87" s="157"/>
      <c r="S87" s="157"/>
      <c r="T87" s="157"/>
      <c r="U87" s="107"/>
    </row>
    <row r="88" spans="1:21" ht="12.6" customHeight="1" x14ac:dyDescent="0.2">
      <c r="A88" s="71" t="s">
        <v>642</v>
      </c>
      <c r="B88" s="16"/>
      <c r="C88" s="113" t="s">
        <v>61</v>
      </c>
      <c r="D88" s="16"/>
      <c r="E88" s="165">
        <f>+G88+K88</f>
        <v>40.299999999999997</v>
      </c>
      <c r="F88" s="165">
        <v>40.299999999999997</v>
      </c>
      <c r="G88" s="165">
        <v>40.299999999999997</v>
      </c>
      <c r="H88" s="165">
        <v>40.299999999999997</v>
      </c>
      <c r="I88" s="165">
        <f>29.3-0.7</f>
        <v>28.6</v>
      </c>
      <c r="J88" s="165">
        <v>28.6</v>
      </c>
      <c r="K88" s="20"/>
      <c r="L88" s="157">
        <f t="shared" si="20"/>
        <v>0</v>
      </c>
      <c r="N88" s="3">
        <v>-0.7</v>
      </c>
      <c r="P88" s="157">
        <f t="shared" si="21"/>
        <v>0</v>
      </c>
      <c r="Q88" s="157"/>
      <c r="R88" s="157"/>
      <c r="S88" s="157"/>
      <c r="T88" s="157"/>
      <c r="U88" s="107"/>
    </row>
    <row r="89" spans="1:21" ht="12.6" customHeight="1" x14ac:dyDescent="0.2">
      <c r="A89" s="71" t="s">
        <v>643</v>
      </c>
      <c r="B89" s="16" t="s">
        <v>644</v>
      </c>
      <c r="C89" s="92" t="s">
        <v>645</v>
      </c>
      <c r="D89" s="16" t="s">
        <v>339</v>
      </c>
      <c r="E89" s="166">
        <f t="shared" ref="E89:J89" si="26">+E90</f>
        <v>8.1</v>
      </c>
      <c r="F89" s="166">
        <f t="shared" si="26"/>
        <v>8.1</v>
      </c>
      <c r="G89" s="166">
        <f t="shared" si="26"/>
        <v>8.1</v>
      </c>
      <c r="H89" s="166">
        <f t="shared" si="26"/>
        <v>8.1</v>
      </c>
      <c r="I89" s="166">
        <f t="shared" si="26"/>
        <v>8</v>
      </c>
      <c r="J89" s="166">
        <f t="shared" si="26"/>
        <v>8</v>
      </c>
      <c r="K89" s="166"/>
      <c r="L89" s="157">
        <f t="shared" si="20"/>
        <v>0</v>
      </c>
      <c r="P89" s="157">
        <f t="shared" si="21"/>
        <v>0</v>
      </c>
      <c r="Q89" s="157"/>
      <c r="R89" s="157"/>
      <c r="S89" s="157"/>
      <c r="T89" s="157"/>
      <c r="U89" s="107"/>
    </row>
    <row r="90" spans="1:21" ht="12.6" customHeight="1" x14ac:dyDescent="0.2">
      <c r="A90" s="71" t="s">
        <v>646</v>
      </c>
      <c r="B90" s="16"/>
      <c r="C90" s="113" t="s">
        <v>61</v>
      </c>
      <c r="D90" s="16"/>
      <c r="E90" s="20">
        <f>+G90+K90</f>
        <v>8.1</v>
      </c>
      <c r="F90" s="20">
        <v>8.1</v>
      </c>
      <c r="G90" s="20">
        <v>8.1</v>
      </c>
      <c r="H90" s="20">
        <v>8.1</v>
      </c>
      <c r="I90" s="20">
        <v>8</v>
      </c>
      <c r="J90" s="20">
        <v>8</v>
      </c>
      <c r="K90" s="20"/>
      <c r="L90" s="157">
        <f t="shared" si="20"/>
        <v>0</v>
      </c>
      <c r="P90" s="157">
        <f t="shared" si="21"/>
        <v>0</v>
      </c>
      <c r="Q90" s="157"/>
      <c r="R90" s="157"/>
      <c r="S90" s="157"/>
      <c r="T90" s="157"/>
      <c r="U90" s="107"/>
    </row>
    <row r="91" spans="1:21" ht="12.6" customHeight="1" x14ac:dyDescent="0.2">
      <c r="A91" s="71" t="s">
        <v>647</v>
      </c>
      <c r="B91" s="16" t="s">
        <v>648</v>
      </c>
      <c r="C91" s="59" t="s">
        <v>649</v>
      </c>
      <c r="D91" s="18" t="s">
        <v>650</v>
      </c>
      <c r="E91" s="166">
        <f t="shared" ref="E91:J91" si="27">+E92</f>
        <v>9.1999999999999993</v>
      </c>
      <c r="F91" s="166">
        <f t="shared" si="27"/>
        <v>9</v>
      </c>
      <c r="G91" s="166">
        <f t="shared" si="27"/>
        <v>9.1999999999999993</v>
      </c>
      <c r="H91" s="166">
        <f t="shared" si="27"/>
        <v>9</v>
      </c>
      <c r="I91" s="166">
        <f t="shared" si="27"/>
        <v>8.4</v>
      </c>
      <c r="J91" s="166">
        <f t="shared" si="27"/>
        <v>8.4</v>
      </c>
      <c r="K91" s="166"/>
      <c r="L91" s="157">
        <f t="shared" si="20"/>
        <v>0</v>
      </c>
      <c r="P91" s="157">
        <f t="shared" si="21"/>
        <v>0</v>
      </c>
      <c r="Q91" s="157"/>
      <c r="R91" s="157" t="s">
        <v>651</v>
      </c>
      <c r="S91" s="157"/>
      <c r="T91" s="157"/>
      <c r="U91" s="107"/>
    </row>
    <row r="92" spans="1:21" ht="11.25" customHeight="1" x14ac:dyDescent="0.2">
      <c r="A92" s="71" t="s">
        <v>263</v>
      </c>
      <c r="B92" s="16"/>
      <c r="C92" s="113" t="s">
        <v>61</v>
      </c>
      <c r="D92" s="16"/>
      <c r="E92" s="20">
        <f>+G92+K92</f>
        <v>9.1999999999999993</v>
      </c>
      <c r="F92" s="20">
        <v>9</v>
      </c>
      <c r="G92" s="20">
        <v>9.1999999999999993</v>
      </c>
      <c r="H92" s="20">
        <v>9</v>
      </c>
      <c r="I92" s="20">
        <f>8.6-0.2</f>
        <v>8.4</v>
      </c>
      <c r="J92" s="20">
        <v>8.4</v>
      </c>
      <c r="K92" s="20"/>
      <c r="L92" s="157">
        <f t="shared" si="20"/>
        <v>0</v>
      </c>
      <c r="N92" s="3">
        <v>-0.2</v>
      </c>
      <c r="P92" s="157">
        <f t="shared" si="21"/>
        <v>0</v>
      </c>
      <c r="Q92" s="157"/>
      <c r="R92" s="157"/>
      <c r="S92" s="157"/>
      <c r="T92" s="157"/>
      <c r="U92" s="107"/>
    </row>
    <row r="93" spans="1:21" ht="12.6" customHeight="1" x14ac:dyDescent="0.2">
      <c r="A93" s="71" t="s">
        <v>652</v>
      </c>
      <c r="B93" s="16" t="s">
        <v>653</v>
      </c>
      <c r="C93" s="92" t="s">
        <v>654</v>
      </c>
      <c r="D93" s="16" t="s">
        <v>339</v>
      </c>
      <c r="E93" s="166">
        <f t="shared" ref="E93:J93" si="28">+E94</f>
        <v>21</v>
      </c>
      <c r="F93" s="166">
        <f t="shared" si="28"/>
        <v>16.899999999999999</v>
      </c>
      <c r="G93" s="166">
        <f t="shared" si="28"/>
        <v>21</v>
      </c>
      <c r="H93" s="166">
        <f t="shared" si="28"/>
        <v>16.899999999999999</v>
      </c>
      <c r="I93" s="166">
        <f t="shared" si="28"/>
        <v>16.5</v>
      </c>
      <c r="J93" s="166">
        <f t="shared" si="28"/>
        <v>16.100000000000001</v>
      </c>
      <c r="K93" s="166"/>
      <c r="L93" s="157">
        <f t="shared" si="20"/>
        <v>0</v>
      </c>
      <c r="P93" s="157">
        <f t="shared" si="21"/>
        <v>0</v>
      </c>
      <c r="Q93" s="157"/>
      <c r="R93" s="157"/>
      <c r="S93" s="157"/>
      <c r="T93" s="157"/>
      <c r="U93" s="107"/>
    </row>
    <row r="94" spans="1:21" ht="12.6" customHeight="1" x14ac:dyDescent="0.2">
      <c r="A94" s="71" t="s">
        <v>655</v>
      </c>
      <c r="B94" s="16"/>
      <c r="C94" s="113" t="s">
        <v>61</v>
      </c>
      <c r="D94" s="16"/>
      <c r="E94" s="20">
        <f>+G94+K94</f>
        <v>21</v>
      </c>
      <c r="F94" s="20">
        <v>16.899999999999999</v>
      </c>
      <c r="G94" s="20">
        <f>17+4</f>
        <v>21</v>
      </c>
      <c r="H94" s="20">
        <v>16.899999999999999</v>
      </c>
      <c r="I94" s="20">
        <f>15.8+0.7</f>
        <v>16.5</v>
      </c>
      <c r="J94" s="20">
        <v>16.100000000000001</v>
      </c>
      <c r="K94" s="20"/>
      <c r="L94" s="157">
        <f t="shared" si="20"/>
        <v>4</v>
      </c>
      <c r="M94" s="3">
        <v>4</v>
      </c>
      <c r="N94" s="3">
        <v>0.7</v>
      </c>
      <c r="P94" s="157">
        <f t="shared" si="21"/>
        <v>0</v>
      </c>
      <c r="Q94" s="157"/>
      <c r="R94" s="157"/>
      <c r="S94" s="157"/>
      <c r="T94" s="157"/>
      <c r="U94" s="107"/>
    </row>
    <row r="95" spans="1:21" ht="12.6" customHeight="1" x14ac:dyDescent="0.2">
      <c r="A95" s="71" t="s">
        <v>656</v>
      </c>
      <c r="B95" s="16" t="s">
        <v>657</v>
      </c>
      <c r="C95" s="59" t="s">
        <v>658</v>
      </c>
      <c r="D95" s="16" t="s">
        <v>339</v>
      </c>
      <c r="E95" s="166">
        <f t="shared" ref="E95:J95" si="29">+E96</f>
        <v>12.9</v>
      </c>
      <c r="F95" s="166">
        <f t="shared" si="29"/>
        <v>12.9</v>
      </c>
      <c r="G95" s="166">
        <f t="shared" si="29"/>
        <v>12.9</v>
      </c>
      <c r="H95" s="166">
        <f t="shared" si="29"/>
        <v>12.9</v>
      </c>
      <c r="I95" s="166">
        <f t="shared" si="29"/>
        <v>12.4</v>
      </c>
      <c r="J95" s="166">
        <f t="shared" si="29"/>
        <v>12.4</v>
      </c>
      <c r="K95" s="166"/>
      <c r="L95" s="157">
        <f t="shared" si="20"/>
        <v>0</v>
      </c>
      <c r="P95" s="157">
        <f t="shared" si="21"/>
        <v>0</v>
      </c>
      <c r="Q95" s="157"/>
      <c r="R95" s="157"/>
      <c r="S95" s="157"/>
      <c r="T95" s="157"/>
      <c r="U95" s="107"/>
    </row>
    <row r="96" spans="1:21" ht="12.6" customHeight="1" x14ac:dyDescent="0.2">
      <c r="A96" s="71" t="s">
        <v>659</v>
      </c>
      <c r="B96" s="16"/>
      <c r="C96" s="113" t="s">
        <v>61</v>
      </c>
      <c r="D96" s="16"/>
      <c r="E96" s="20">
        <f>+G96+K96</f>
        <v>12.9</v>
      </c>
      <c r="F96" s="20">
        <v>12.9</v>
      </c>
      <c r="G96" s="20">
        <v>12.9</v>
      </c>
      <c r="H96" s="20">
        <v>12.9</v>
      </c>
      <c r="I96" s="20">
        <v>12.4</v>
      </c>
      <c r="J96" s="20">
        <v>12.4</v>
      </c>
      <c r="K96" s="20"/>
      <c r="L96" s="157">
        <f t="shared" si="20"/>
        <v>0</v>
      </c>
      <c r="P96" s="157">
        <f t="shared" si="21"/>
        <v>0</v>
      </c>
      <c r="Q96" s="157"/>
      <c r="R96" s="157"/>
      <c r="S96" s="157"/>
      <c r="T96" s="157"/>
      <c r="U96" s="107"/>
    </row>
    <row r="97" spans="1:21" ht="12.6" customHeight="1" x14ac:dyDescent="0.2">
      <c r="A97" s="71" t="s">
        <v>660</v>
      </c>
      <c r="B97" s="16" t="s">
        <v>661</v>
      </c>
      <c r="C97" s="92" t="s">
        <v>662</v>
      </c>
      <c r="D97" s="16" t="s">
        <v>628</v>
      </c>
      <c r="E97" s="166">
        <f t="shared" ref="E97:J97" si="30">+E98</f>
        <v>0.6</v>
      </c>
      <c r="F97" s="166">
        <f t="shared" si="30"/>
        <v>0.6</v>
      </c>
      <c r="G97" s="166">
        <f t="shared" si="30"/>
        <v>0.6</v>
      </c>
      <c r="H97" s="166">
        <f t="shared" si="30"/>
        <v>0.6</v>
      </c>
      <c r="I97" s="166">
        <f t="shared" si="30"/>
        <v>0.6</v>
      </c>
      <c r="J97" s="166">
        <f t="shared" si="30"/>
        <v>0.6</v>
      </c>
      <c r="K97" s="166"/>
      <c r="L97" s="157">
        <f t="shared" si="20"/>
        <v>0</v>
      </c>
      <c r="P97" s="157">
        <f t="shared" si="21"/>
        <v>0</v>
      </c>
      <c r="Q97" s="157"/>
      <c r="R97" s="157"/>
      <c r="S97" s="157"/>
      <c r="T97" s="157"/>
      <c r="U97" s="107"/>
    </row>
    <row r="98" spans="1:21" ht="12.6" customHeight="1" x14ac:dyDescent="0.2">
      <c r="A98" s="71" t="s">
        <v>663</v>
      </c>
      <c r="B98" s="16"/>
      <c r="C98" s="113" t="s">
        <v>61</v>
      </c>
      <c r="D98" s="16"/>
      <c r="E98" s="20">
        <f>+G98+K98</f>
        <v>0.6</v>
      </c>
      <c r="F98" s="20">
        <v>0.6</v>
      </c>
      <c r="G98" s="20">
        <v>0.6</v>
      </c>
      <c r="H98" s="20">
        <v>0.6</v>
      </c>
      <c r="I98" s="20">
        <v>0.6</v>
      </c>
      <c r="J98" s="20">
        <v>0.6</v>
      </c>
      <c r="K98" s="20"/>
      <c r="L98" s="157">
        <f t="shared" si="20"/>
        <v>0</v>
      </c>
      <c r="P98" s="157">
        <f t="shared" si="21"/>
        <v>0</v>
      </c>
      <c r="Q98" s="157"/>
      <c r="R98" s="157"/>
      <c r="S98" s="157"/>
      <c r="T98" s="157"/>
      <c r="U98" s="107"/>
    </row>
    <row r="99" spans="1:21" ht="12.6" customHeight="1" x14ac:dyDescent="0.2">
      <c r="A99" s="71" t="s">
        <v>664</v>
      </c>
      <c r="B99" s="16" t="s">
        <v>665</v>
      </c>
      <c r="C99" s="92" t="s">
        <v>666</v>
      </c>
      <c r="D99" s="16" t="s">
        <v>339</v>
      </c>
      <c r="E99" s="166">
        <f t="shared" ref="E99:J99" si="31">SUM(E100:E101)</f>
        <v>12.2</v>
      </c>
      <c r="F99" s="166">
        <f t="shared" si="31"/>
        <v>8.1999999999999993</v>
      </c>
      <c r="G99" s="166">
        <f t="shared" si="31"/>
        <v>12.2</v>
      </c>
      <c r="H99" s="166">
        <f t="shared" si="31"/>
        <v>8.1999999999999993</v>
      </c>
      <c r="I99" s="166">
        <f t="shared" si="31"/>
        <v>4</v>
      </c>
      <c r="J99" s="166">
        <f t="shared" si="31"/>
        <v>4</v>
      </c>
      <c r="K99" s="166"/>
      <c r="L99" s="157">
        <f t="shared" si="20"/>
        <v>0</v>
      </c>
      <c r="P99" s="157">
        <f t="shared" si="21"/>
        <v>0</v>
      </c>
      <c r="Q99" s="157"/>
      <c r="R99" s="157"/>
      <c r="S99" s="157"/>
      <c r="T99" s="157"/>
      <c r="U99" s="107"/>
    </row>
    <row r="100" spans="1:21" ht="12.6" customHeight="1" x14ac:dyDescent="0.2">
      <c r="A100" s="71" t="s">
        <v>667</v>
      </c>
      <c r="B100" s="16"/>
      <c r="C100" s="113" t="s">
        <v>61</v>
      </c>
      <c r="D100" s="16"/>
      <c r="E100" s="20">
        <f>+G100+K100</f>
        <v>8.1</v>
      </c>
      <c r="F100" s="20">
        <v>4.0999999999999996</v>
      </c>
      <c r="G100" s="20">
        <v>8.1</v>
      </c>
      <c r="H100" s="20">
        <v>4.0999999999999996</v>
      </c>
      <c r="I100" s="20"/>
      <c r="J100" s="20"/>
      <c r="K100" s="20"/>
      <c r="L100" s="157">
        <f t="shared" si="20"/>
        <v>0</v>
      </c>
      <c r="P100" s="157">
        <f t="shared" si="21"/>
        <v>0</v>
      </c>
      <c r="Q100" s="157"/>
      <c r="R100" s="157"/>
      <c r="S100" s="157"/>
      <c r="T100" s="157"/>
      <c r="U100" s="107"/>
    </row>
    <row r="101" spans="1:21" ht="24.95" customHeight="1" x14ac:dyDescent="0.2">
      <c r="A101" s="71" t="s">
        <v>668</v>
      </c>
      <c r="B101" s="26"/>
      <c r="C101" s="27" t="s">
        <v>190</v>
      </c>
      <c r="D101" s="26"/>
      <c r="E101" s="20">
        <f>+G101+K101</f>
        <v>4.0999999999999996</v>
      </c>
      <c r="F101" s="20">
        <v>4.0999999999999996</v>
      </c>
      <c r="G101" s="20">
        <v>4.0999999999999996</v>
      </c>
      <c r="H101" s="20">
        <v>4.0999999999999996</v>
      </c>
      <c r="I101" s="20">
        <v>4</v>
      </c>
      <c r="J101" s="20">
        <v>4</v>
      </c>
      <c r="K101" s="20"/>
      <c r="L101" s="157">
        <f t="shared" si="20"/>
        <v>0</v>
      </c>
      <c r="P101" s="157">
        <f t="shared" si="21"/>
        <v>0</v>
      </c>
      <c r="Q101" s="157"/>
      <c r="R101" s="157"/>
      <c r="S101" s="157"/>
      <c r="T101" s="157"/>
      <c r="U101" s="107"/>
    </row>
    <row r="102" spans="1:21" ht="12.6" customHeight="1" x14ac:dyDescent="0.2">
      <c r="A102" s="71" t="s">
        <v>669</v>
      </c>
      <c r="B102" s="16" t="s">
        <v>670</v>
      </c>
      <c r="C102" s="92" t="s">
        <v>671</v>
      </c>
      <c r="D102" s="16" t="s">
        <v>490</v>
      </c>
      <c r="E102" s="166">
        <f t="shared" ref="E102:J102" si="32">SUM(E103:E113)</f>
        <v>121.39999999999998</v>
      </c>
      <c r="F102" s="166">
        <f t="shared" si="32"/>
        <v>121.1</v>
      </c>
      <c r="G102" s="166">
        <f t="shared" si="32"/>
        <v>121.39999999999998</v>
      </c>
      <c r="H102" s="166">
        <f t="shared" si="32"/>
        <v>121.1</v>
      </c>
      <c r="I102" s="166">
        <f t="shared" si="32"/>
        <v>117.6</v>
      </c>
      <c r="J102" s="166">
        <f t="shared" si="32"/>
        <v>117.5</v>
      </c>
      <c r="K102" s="166"/>
      <c r="L102" s="157">
        <f t="shared" si="20"/>
        <v>0</v>
      </c>
      <c r="P102" s="157">
        <f t="shared" si="21"/>
        <v>0</v>
      </c>
      <c r="Q102" s="157"/>
      <c r="R102" s="157"/>
      <c r="S102" s="157"/>
      <c r="T102" s="157"/>
      <c r="U102" s="107"/>
    </row>
    <row r="103" spans="1:21" ht="24.95" customHeight="1" x14ac:dyDescent="0.2">
      <c r="A103" s="71" t="s">
        <v>672</v>
      </c>
      <c r="B103" s="16"/>
      <c r="C103" s="27" t="s">
        <v>190</v>
      </c>
      <c r="D103" s="16"/>
      <c r="E103" s="20">
        <f>+G103+K103</f>
        <v>75.7</v>
      </c>
      <c r="F103" s="20">
        <v>75.7</v>
      </c>
      <c r="G103" s="20">
        <v>75.7</v>
      </c>
      <c r="H103" s="20">
        <v>75.7</v>
      </c>
      <c r="I103" s="20">
        <v>73.400000000000006</v>
      </c>
      <c r="J103" s="20">
        <v>73.400000000000006</v>
      </c>
      <c r="K103" s="20"/>
      <c r="L103" s="157">
        <f t="shared" si="20"/>
        <v>0</v>
      </c>
      <c r="P103" s="157">
        <f t="shared" si="21"/>
        <v>0</v>
      </c>
      <c r="Q103" s="157"/>
      <c r="R103" s="157"/>
      <c r="S103" s="157"/>
      <c r="T103" s="157"/>
      <c r="U103" s="107"/>
    </row>
    <row r="104" spans="1:21" ht="12.6" customHeight="1" x14ac:dyDescent="0.2">
      <c r="A104" s="71" t="s">
        <v>673</v>
      </c>
      <c r="B104" s="16"/>
      <c r="C104" s="27" t="s">
        <v>192</v>
      </c>
      <c r="D104" s="16"/>
      <c r="E104" s="20">
        <f t="shared" ref="E104:E113" si="33">+G104+K104</f>
        <v>7.5</v>
      </c>
      <c r="F104" s="20">
        <v>7.5</v>
      </c>
      <c r="G104" s="20">
        <v>7.5</v>
      </c>
      <c r="H104" s="20">
        <v>7.5</v>
      </c>
      <c r="I104" s="20">
        <v>7.3</v>
      </c>
      <c r="J104" s="20">
        <v>7.3</v>
      </c>
      <c r="K104" s="20"/>
      <c r="L104" s="157">
        <f t="shared" si="20"/>
        <v>0</v>
      </c>
      <c r="P104" s="157">
        <f t="shared" si="21"/>
        <v>0</v>
      </c>
      <c r="Q104" s="157"/>
      <c r="R104" s="157"/>
      <c r="S104" s="157"/>
      <c r="T104" s="157"/>
      <c r="U104" s="107"/>
    </row>
    <row r="105" spans="1:21" ht="12.6" customHeight="1" x14ac:dyDescent="0.2">
      <c r="A105" s="71" t="s">
        <v>674</v>
      </c>
      <c r="B105" s="16"/>
      <c r="C105" s="27" t="s">
        <v>194</v>
      </c>
      <c r="D105" s="16"/>
      <c r="E105" s="20">
        <f t="shared" si="33"/>
        <v>2.6</v>
      </c>
      <c r="F105" s="20">
        <v>2.6</v>
      </c>
      <c r="G105" s="20">
        <v>2.6</v>
      </c>
      <c r="H105" s="20">
        <v>2.6</v>
      </c>
      <c r="I105" s="20">
        <v>2.5</v>
      </c>
      <c r="J105" s="20">
        <v>2.5</v>
      </c>
      <c r="K105" s="20"/>
      <c r="L105" s="157">
        <f t="shared" si="20"/>
        <v>0</v>
      </c>
      <c r="P105" s="157">
        <f t="shared" si="21"/>
        <v>0</v>
      </c>
      <c r="Q105" s="157"/>
      <c r="R105" s="157"/>
      <c r="S105" s="157"/>
      <c r="T105" s="157"/>
      <c r="U105" s="107"/>
    </row>
    <row r="106" spans="1:21" ht="12.6" customHeight="1" x14ac:dyDescent="0.2">
      <c r="A106" s="71" t="s">
        <v>675</v>
      </c>
      <c r="B106" s="16"/>
      <c r="C106" s="27" t="s">
        <v>195</v>
      </c>
      <c r="D106" s="16"/>
      <c r="E106" s="20">
        <f t="shared" si="33"/>
        <v>7.5</v>
      </c>
      <c r="F106" s="20">
        <v>7.5</v>
      </c>
      <c r="G106" s="20">
        <v>7.5</v>
      </c>
      <c r="H106" s="20">
        <v>7.5</v>
      </c>
      <c r="I106" s="20">
        <v>7.3</v>
      </c>
      <c r="J106" s="20">
        <v>7.3</v>
      </c>
      <c r="K106" s="20"/>
      <c r="L106" s="157">
        <f t="shared" si="20"/>
        <v>0</v>
      </c>
      <c r="P106" s="157">
        <f t="shared" si="21"/>
        <v>0</v>
      </c>
      <c r="Q106" s="157"/>
      <c r="R106" s="157"/>
      <c r="S106" s="157"/>
      <c r="T106" s="157"/>
      <c r="U106" s="107"/>
    </row>
    <row r="107" spans="1:21" ht="12.6" customHeight="1" x14ac:dyDescent="0.2">
      <c r="A107" s="71" t="s">
        <v>676</v>
      </c>
      <c r="B107" s="16"/>
      <c r="C107" s="27" t="s">
        <v>196</v>
      </c>
      <c r="D107" s="16"/>
      <c r="E107" s="20">
        <f t="shared" si="33"/>
        <v>2.6</v>
      </c>
      <c r="F107" s="20">
        <v>2.5</v>
      </c>
      <c r="G107" s="20">
        <v>2.6</v>
      </c>
      <c r="H107" s="20">
        <v>2.5</v>
      </c>
      <c r="I107" s="20">
        <v>2.5</v>
      </c>
      <c r="J107" s="20">
        <v>2.4</v>
      </c>
      <c r="K107" s="20"/>
      <c r="L107" s="157">
        <f t="shared" si="20"/>
        <v>0</v>
      </c>
      <c r="P107" s="157">
        <f t="shared" si="21"/>
        <v>0</v>
      </c>
      <c r="Q107" s="157"/>
      <c r="R107" s="157"/>
      <c r="S107" s="157"/>
      <c r="T107" s="157"/>
      <c r="U107" s="107"/>
    </row>
    <row r="108" spans="1:21" ht="12.6" customHeight="1" x14ac:dyDescent="0.2">
      <c r="A108" s="71" t="s">
        <v>677</v>
      </c>
      <c r="B108" s="16"/>
      <c r="C108" s="27" t="s">
        <v>197</v>
      </c>
      <c r="D108" s="16"/>
      <c r="E108" s="20">
        <f t="shared" si="33"/>
        <v>7.5</v>
      </c>
      <c r="F108" s="20">
        <v>7.5</v>
      </c>
      <c r="G108" s="20">
        <v>7.5</v>
      </c>
      <c r="H108" s="20">
        <v>7.5</v>
      </c>
      <c r="I108" s="20">
        <v>7.3</v>
      </c>
      <c r="J108" s="20">
        <v>7.3</v>
      </c>
      <c r="K108" s="20"/>
      <c r="L108" s="157">
        <f t="shared" si="20"/>
        <v>0</v>
      </c>
      <c r="P108" s="157">
        <f t="shared" si="21"/>
        <v>0</v>
      </c>
      <c r="Q108" s="157"/>
      <c r="R108" s="157"/>
      <c r="S108" s="157"/>
      <c r="T108" s="157"/>
      <c r="U108" s="107"/>
    </row>
    <row r="109" spans="1:21" ht="12.6" customHeight="1" x14ac:dyDescent="0.2">
      <c r="A109" s="71" t="s">
        <v>678</v>
      </c>
      <c r="B109" s="16"/>
      <c r="C109" s="40" t="s">
        <v>198</v>
      </c>
      <c r="D109" s="16"/>
      <c r="E109" s="20">
        <f t="shared" si="33"/>
        <v>2.6</v>
      </c>
      <c r="F109" s="20">
        <v>2.5</v>
      </c>
      <c r="G109" s="20">
        <v>2.6</v>
      </c>
      <c r="H109" s="20">
        <v>2.5</v>
      </c>
      <c r="I109" s="20">
        <v>2.5</v>
      </c>
      <c r="J109" s="20">
        <v>2.5</v>
      </c>
      <c r="K109" s="20"/>
      <c r="L109" s="157">
        <f t="shared" si="20"/>
        <v>0</v>
      </c>
      <c r="P109" s="157">
        <f t="shared" si="21"/>
        <v>0</v>
      </c>
      <c r="Q109" s="157"/>
      <c r="R109" s="157"/>
      <c r="S109" s="157"/>
      <c r="T109" s="157"/>
      <c r="U109" s="107"/>
    </row>
    <row r="110" spans="1:21" ht="12.6" customHeight="1" x14ac:dyDescent="0.2">
      <c r="A110" s="71" t="s">
        <v>679</v>
      </c>
      <c r="B110" s="16"/>
      <c r="C110" s="27" t="s">
        <v>199</v>
      </c>
      <c r="D110" s="16"/>
      <c r="E110" s="20">
        <f t="shared" si="33"/>
        <v>2.6</v>
      </c>
      <c r="F110" s="20">
        <v>2.5</v>
      </c>
      <c r="G110" s="20">
        <v>2.6</v>
      </c>
      <c r="H110" s="20">
        <v>2.5</v>
      </c>
      <c r="I110" s="20">
        <v>2.5</v>
      </c>
      <c r="J110" s="20">
        <v>2.5</v>
      </c>
      <c r="K110" s="20"/>
      <c r="L110" s="157">
        <f t="shared" si="20"/>
        <v>0</v>
      </c>
      <c r="P110" s="157">
        <f t="shared" si="21"/>
        <v>0</v>
      </c>
      <c r="Q110" s="157"/>
      <c r="R110" s="157"/>
      <c r="S110" s="157"/>
      <c r="T110" s="157"/>
      <c r="U110" s="107"/>
    </row>
    <row r="111" spans="1:21" x14ac:dyDescent="0.2">
      <c r="A111" s="71" t="s">
        <v>680</v>
      </c>
      <c r="B111" s="16"/>
      <c r="C111" s="27" t="s">
        <v>200</v>
      </c>
      <c r="D111" s="16"/>
      <c r="E111" s="20">
        <f t="shared" si="33"/>
        <v>2.6</v>
      </c>
      <c r="F111" s="20">
        <v>2.6</v>
      </c>
      <c r="G111" s="20">
        <v>2.6</v>
      </c>
      <c r="H111" s="20">
        <v>2.6</v>
      </c>
      <c r="I111" s="20">
        <v>2.5</v>
      </c>
      <c r="J111" s="20">
        <v>2.5</v>
      </c>
      <c r="K111" s="20"/>
      <c r="L111" s="157">
        <f t="shared" si="20"/>
        <v>0</v>
      </c>
      <c r="P111" s="157">
        <f t="shared" si="21"/>
        <v>0</v>
      </c>
      <c r="Q111" s="157"/>
      <c r="R111" s="157"/>
      <c r="S111" s="157"/>
      <c r="T111" s="157"/>
      <c r="U111" s="107"/>
    </row>
    <row r="112" spans="1:21" ht="15.75" customHeight="1" x14ac:dyDescent="0.2">
      <c r="A112" s="71" t="s">
        <v>681</v>
      </c>
      <c r="B112" s="16"/>
      <c r="C112" s="27" t="s">
        <v>201</v>
      </c>
      <c r="D112" s="16"/>
      <c r="E112" s="20">
        <f t="shared" si="33"/>
        <v>2.7</v>
      </c>
      <c r="F112" s="20">
        <v>2.7</v>
      </c>
      <c r="G112" s="20">
        <v>2.7</v>
      </c>
      <c r="H112" s="20">
        <v>2.7</v>
      </c>
      <c r="I112" s="20">
        <v>2.5</v>
      </c>
      <c r="J112" s="20">
        <v>2.5</v>
      </c>
      <c r="K112" s="20"/>
      <c r="L112" s="157">
        <f t="shared" si="20"/>
        <v>0</v>
      </c>
      <c r="P112" s="157">
        <f t="shared" si="21"/>
        <v>0</v>
      </c>
      <c r="Q112" s="157"/>
      <c r="R112" s="157"/>
      <c r="S112" s="157"/>
      <c r="T112" s="157"/>
      <c r="U112" s="107"/>
    </row>
    <row r="113" spans="1:21" x14ac:dyDescent="0.2">
      <c r="A113" s="71" t="s">
        <v>682</v>
      </c>
      <c r="B113" s="16"/>
      <c r="C113" s="27" t="s">
        <v>202</v>
      </c>
      <c r="D113" s="16"/>
      <c r="E113" s="20">
        <f t="shared" si="33"/>
        <v>7.5</v>
      </c>
      <c r="F113" s="20">
        <v>7.5</v>
      </c>
      <c r="G113" s="20">
        <v>7.5</v>
      </c>
      <c r="H113" s="20">
        <v>7.5</v>
      </c>
      <c r="I113" s="20">
        <v>7.3</v>
      </c>
      <c r="J113" s="20">
        <v>7.3</v>
      </c>
      <c r="K113" s="20"/>
      <c r="L113" s="157">
        <f t="shared" si="20"/>
        <v>0</v>
      </c>
      <c r="P113" s="157">
        <f t="shared" si="21"/>
        <v>0</v>
      </c>
      <c r="Q113" s="157"/>
      <c r="R113" s="157"/>
      <c r="S113" s="157"/>
      <c r="T113" s="157"/>
      <c r="U113" s="107"/>
    </row>
    <row r="114" spans="1:21" ht="24.95" customHeight="1" x14ac:dyDescent="0.2">
      <c r="A114" s="71" t="s">
        <v>683</v>
      </c>
      <c r="B114" s="16" t="s">
        <v>684</v>
      </c>
      <c r="C114" s="92" t="s">
        <v>685</v>
      </c>
      <c r="D114" s="16" t="s">
        <v>686</v>
      </c>
      <c r="E114" s="166">
        <f>SUM(E115:E115)</f>
        <v>0.1</v>
      </c>
      <c r="F114" s="168">
        <v>0</v>
      </c>
      <c r="G114" s="166">
        <f>SUM(G115:G115)</f>
        <v>0.1</v>
      </c>
      <c r="H114" s="168">
        <v>0</v>
      </c>
      <c r="I114" s="166">
        <f>SUM(I115:I115)</f>
        <v>0</v>
      </c>
      <c r="J114" s="166"/>
      <c r="K114" s="166"/>
      <c r="L114" s="157">
        <f t="shared" si="20"/>
        <v>0</v>
      </c>
      <c r="P114" s="157">
        <f t="shared" si="21"/>
        <v>0</v>
      </c>
      <c r="Q114" s="157"/>
      <c r="R114" s="157"/>
      <c r="S114" s="157"/>
      <c r="T114" s="157"/>
      <c r="U114" s="107"/>
    </row>
    <row r="115" spans="1:21" ht="12.6" customHeight="1" x14ac:dyDescent="0.2">
      <c r="A115" s="71" t="s">
        <v>687</v>
      </c>
      <c r="B115" s="16"/>
      <c r="C115" s="113" t="s">
        <v>61</v>
      </c>
      <c r="D115" s="16"/>
      <c r="E115" s="20">
        <f>+G115+K115</f>
        <v>0.1</v>
      </c>
      <c r="F115" s="57">
        <v>0</v>
      </c>
      <c r="G115" s="20">
        <v>0.1</v>
      </c>
      <c r="H115" s="57">
        <v>0</v>
      </c>
      <c r="I115" s="20"/>
      <c r="J115" s="20"/>
      <c r="K115" s="20"/>
      <c r="L115" s="157">
        <f t="shared" si="20"/>
        <v>0</v>
      </c>
      <c r="P115" s="157">
        <f t="shared" si="21"/>
        <v>0</v>
      </c>
      <c r="Q115" s="157"/>
      <c r="R115" s="157"/>
      <c r="S115" s="157"/>
      <c r="T115" s="157"/>
      <c r="U115" s="107"/>
    </row>
    <row r="116" spans="1:21" ht="12.6" customHeight="1" x14ac:dyDescent="0.2">
      <c r="A116" s="71" t="s">
        <v>688</v>
      </c>
      <c r="B116" s="16"/>
      <c r="C116" s="170" t="s">
        <v>491</v>
      </c>
      <c r="D116" s="11"/>
      <c r="E116" s="58">
        <f>+G116+K116</f>
        <v>3842.2999999999993</v>
      </c>
      <c r="F116" s="58">
        <f>+H116+U116</f>
        <v>3785.6</v>
      </c>
      <c r="G116" s="58">
        <f>+G14+G23+G60+G78</f>
        <v>3829.3999999999992</v>
      </c>
      <c r="H116" s="58">
        <f>+H14+H23+H60+H78</f>
        <v>3772.7999999999997</v>
      </c>
      <c r="I116" s="58">
        <f>+I14+I23+I60+I78</f>
        <v>2337.4</v>
      </c>
      <c r="J116" s="58">
        <f>+J14+J23+J60+J78</f>
        <v>2299.5</v>
      </c>
      <c r="K116" s="52">
        <f>+K14+K23+K60+K78</f>
        <v>12.9</v>
      </c>
      <c r="L116" s="52">
        <f t="shared" ref="L116:U116" si="34">+L14+L23+L60+L78</f>
        <v>40</v>
      </c>
      <c r="M116" s="52">
        <f t="shared" si="34"/>
        <v>37.9</v>
      </c>
      <c r="N116" s="52">
        <f t="shared" si="34"/>
        <v>19.8</v>
      </c>
      <c r="O116" s="52">
        <f t="shared" si="34"/>
        <v>2.1</v>
      </c>
      <c r="P116" s="52">
        <f t="shared" si="34"/>
        <v>41.8</v>
      </c>
      <c r="Q116" s="52">
        <f t="shared" si="34"/>
        <v>36.299999999999997</v>
      </c>
      <c r="R116" s="52" t="e">
        <f t="shared" si="34"/>
        <v>#VALUE!</v>
      </c>
      <c r="S116" s="52">
        <f t="shared" si="34"/>
        <v>14.600000000000001</v>
      </c>
      <c r="T116" s="52">
        <f t="shared" si="34"/>
        <v>5.5</v>
      </c>
      <c r="U116" s="52">
        <f t="shared" si="34"/>
        <v>12.8</v>
      </c>
    </row>
    <row r="117" spans="1:21" ht="10.5" customHeight="1" x14ac:dyDescent="0.2">
      <c r="E117" s="97"/>
      <c r="F117" s="97"/>
      <c r="G117" s="97"/>
      <c r="H117" s="97"/>
      <c r="I117" s="97"/>
      <c r="J117" s="97"/>
      <c r="K117" s="97"/>
    </row>
    <row r="118" spans="1:21" x14ac:dyDescent="0.2">
      <c r="C118" s="4" t="s">
        <v>689</v>
      </c>
      <c r="D118" s="161"/>
      <c r="E118" s="97"/>
      <c r="F118" s="97"/>
      <c r="G118" s="97"/>
      <c r="H118" s="97"/>
      <c r="I118" s="97"/>
      <c r="J118" s="97"/>
      <c r="K118" s="4"/>
    </row>
    <row r="119" spans="1:21" hidden="1" x14ac:dyDescent="0.2">
      <c r="E119" s="97">
        <f>+G119+K119</f>
        <v>3824</v>
      </c>
      <c r="F119" s="97"/>
      <c r="G119" s="97">
        <v>3818.7</v>
      </c>
      <c r="H119" s="97"/>
      <c r="I119" s="97">
        <v>2304</v>
      </c>
      <c r="J119" s="97"/>
      <c r="K119" s="97">
        <v>5.3</v>
      </c>
    </row>
    <row r="120" spans="1:21" hidden="1" x14ac:dyDescent="0.2">
      <c r="E120" s="97">
        <f>+G120+K120</f>
        <v>18.299999999999365</v>
      </c>
      <c r="F120" s="97"/>
      <c r="G120" s="97">
        <f>+G116-G119</f>
        <v>10.699999999999363</v>
      </c>
      <c r="H120" s="97"/>
      <c r="I120" s="97">
        <f>+I116-I119</f>
        <v>33.400000000000091</v>
      </c>
      <c r="J120" s="97"/>
      <c r="K120" s="97">
        <f>+K116-K119</f>
        <v>7.6000000000000005</v>
      </c>
    </row>
    <row r="121" spans="1:21" x14ac:dyDescent="0.2">
      <c r="E121" s="97"/>
      <c r="F121" s="97"/>
      <c r="G121" s="96"/>
      <c r="H121" s="96"/>
      <c r="I121" s="96"/>
      <c r="J121" s="96"/>
      <c r="K121" s="96"/>
    </row>
    <row r="122" spans="1:21" hidden="1" x14ac:dyDescent="0.2">
      <c r="E122" s="97">
        <f>+G122+K122</f>
        <v>3820.5</v>
      </c>
      <c r="F122" s="97"/>
      <c r="G122" s="96">
        <v>3813.1</v>
      </c>
      <c r="H122" s="96"/>
      <c r="I122" s="4">
        <v>2322.8000000000002</v>
      </c>
      <c r="J122" s="4"/>
      <c r="K122" s="4">
        <v>7.4</v>
      </c>
    </row>
    <row r="123" spans="1:21" hidden="1" x14ac:dyDescent="0.2">
      <c r="E123" s="97">
        <f>+G123+K123</f>
        <v>21.799999999999272</v>
      </c>
      <c r="F123" s="97"/>
      <c r="G123" s="96">
        <f>+G116-G122</f>
        <v>16.299999999999272</v>
      </c>
      <c r="H123" s="96"/>
      <c r="I123" s="96">
        <f>+I116-I122</f>
        <v>14.599999999999909</v>
      </c>
      <c r="J123" s="96"/>
      <c r="K123" s="96">
        <f>+K116-K122</f>
        <v>5.5</v>
      </c>
    </row>
    <row r="124" spans="1:21" x14ac:dyDescent="0.2">
      <c r="E124" s="4"/>
      <c r="F124" s="4"/>
      <c r="G124" s="4"/>
      <c r="H124" s="4"/>
      <c r="I124" s="4"/>
      <c r="J124" s="4"/>
      <c r="K124" s="4"/>
    </row>
  </sheetData>
  <mergeCells count="25">
    <mergeCell ref="I11:J11"/>
    <mergeCell ref="K11:K12"/>
    <mergeCell ref="U11:U12"/>
    <mergeCell ref="A73:A74"/>
    <mergeCell ref="B73:B74"/>
    <mergeCell ref="D73:D74"/>
    <mergeCell ref="F11:F12"/>
    <mergeCell ref="G11:H11"/>
    <mergeCell ref="A29:A30"/>
    <mergeCell ref="B29:B30"/>
    <mergeCell ref="A8:A12"/>
    <mergeCell ref="B8:B12"/>
    <mergeCell ref="C8:C12"/>
    <mergeCell ref="D8:D12"/>
    <mergeCell ref="G10:J10"/>
    <mergeCell ref="E11:E12"/>
    <mergeCell ref="C2:U2"/>
    <mergeCell ref="C1:U1"/>
    <mergeCell ref="C3:K3"/>
    <mergeCell ref="A6:K6"/>
    <mergeCell ref="K10:U10"/>
    <mergeCell ref="J7:U7"/>
    <mergeCell ref="E4:U4"/>
    <mergeCell ref="G8:U9"/>
    <mergeCell ref="E8:F10"/>
  </mergeCells>
  <pageMargins left="0.31496062992125984" right="0.31496062992125984" top="0.35433070866141736" bottom="0.35433070866141736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T63"/>
  <sheetViews>
    <sheetView topLeftCell="B1" workbookViewId="0">
      <selection activeCell="Q14" sqref="Q14"/>
    </sheetView>
  </sheetViews>
  <sheetFormatPr defaultColWidth="9.140625" defaultRowHeight="12.75" x14ac:dyDescent="0.2"/>
  <cols>
    <col min="1" max="1" width="4.140625" style="4" customWidth="1"/>
    <col min="2" max="2" width="6.140625" style="5" customWidth="1"/>
    <col min="3" max="3" width="41.42578125" style="171" customWidth="1"/>
    <col min="4" max="4" width="10.7109375" style="2" customWidth="1"/>
    <col min="5" max="8" width="9.42578125" style="1" customWidth="1"/>
    <col min="9" max="9" width="9" style="1" customWidth="1"/>
    <col min="10" max="10" width="9" style="191" customWidth="1"/>
    <col min="11" max="11" width="7.42578125" style="1" customWidth="1"/>
    <col min="12" max="15" width="9.140625" style="3" hidden="1" customWidth="1"/>
    <col min="16" max="256" width="9.140625" style="3"/>
    <col min="257" max="257" width="4.140625" style="3" customWidth="1"/>
    <col min="258" max="258" width="6.140625" style="3" customWidth="1"/>
    <col min="259" max="259" width="41.42578125" style="3" customWidth="1"/>
    <col min="260" max="260" width="10.7109375" style="3" customWidth="1"/>
    <col min="261" max="264" width="9.42578125" style="3" customWidth="1"/>
    <col min="265" max="266" width="9" style="3" customWidth="1"/>
    <col min="267" max="267" width="7.42578125" style="3" customWidth="1"/>
    <col min="268" max="271" width="0" style="3" hidden="1" customWidth="1"/>
    <col min="272" max="512" width="9.140625" style="3"/>
    <col min="513" max="513" width="4.140625" style="3" customWidth="1"/>
    <col min="514" max="514" width="6.140625" style="3" customWidth="1"/>
    <col min="515" max="515" width="41.42578125" style="3" customWidth="1"/>
    <col min="516" max="516" width="10.7109375" style="3" customWidth="1"/>
    <col min="517" max="520" width="9.42578125" style="3" customWidth="1"/>
    <col min="521" max="522" width="9" style="3" customWidth="1"/>
    <col min="523" max="523" width="7.42578125" style="3" customWidth="1"/>
    <col min="524" max="527" width="0" style="3" hidden="1" customWidth="1"/>
    <col min="528" max="768" width="9.140625" style="3"/>
    <col min="769" max="769" width="4.140625" style="3" customWidth="1"/>
    <col min="770" max="770" width="6.140625" style="3" customWidth="1"/>
    <col min="771" max="771" width="41.42578125" style="3" customWidth="1"/>
    <col min="772" max="772" width="10.7109375" style="3" customWidth="1"/>
    <col min="773" max="776" width="9.42578125" style="3" customWidth="1"/>
    <col min="777" max="778" width="9" style="3" customWidth="1"/>
    <col min="779" max="779" width="7.42578125" style="3" customWidth="1"/>
    <col min="780" max="783" width="0" style="3" hidden="1" customWidth="1"/>
    <col min="784" max="1024" width="9.140625" style="3"/>
    <col min="1025" max="1025" width="4.140625" style="3" customWidth="1"/>
    <col min="1026" max="1026" width="6.140625" style="3" customWidth="1"/>
    <col min="1027" max="1027" width="41.42578125" style="3" customWidth="1"/>
    <col min="1028" max="1028" width="10.7109375" style="3" customWidth="1"/>
    <col min="1029" max="1032" width="9.42578125" style="3" customWidth="1"/>
    <col min="1033" max="1034" width="9" style="3" customWidth="1"/>
    <col min="1035" max="1035" width="7.42578125" style="3" customWidth="1"/>
    <col min="1036" max="1039" width="0" style="3" hidden="1" customWidth="1"/>
    <col min="1040" max="1280" width="9.140625" style="3"/>
    <col min="1281" max="1281" width="4.140625" style="3" customWidth="1"/>
    <col min="1282" max="1282" width="6.140625" style="3" customWidth="1"/>
    <col min="1283" max="1283" width="41.42578125" style="3" customWidth="1"/>
    <col min="1284" max="1284" width="10.7109375" style="3" customWidth="1"/>
    <col min="1285" max="1288" width="9.42578125" style="3" customWidth="1"/>
    <col min="1289" max="1290" width="9" style="3" customWidth="1"/>
    <col min="1291" max="1291" width="7.42578125" style="3" customWidth="1"/>
    <col min="1292" max="1295" width="0" style="3" hidden="1" customWidth="1"/>
    <col min="1296" max="1536" width="9.140625" style="3"/>
    <col min="1537" max="1537" width="4.140625" style="3" customWidth="1"/>
    <col min="1538" max="1538" width="6.140625" style="3" customWidth="1"/>
    <col min="1539" max="1539" width="41.42578125" style="3" customWidth="1"/>
    <col min="1540" max="1540" width="10.7109375" style="3" customWidth="1"/>
    <col min="1541" max="1544" width="9.42578125" style="3" customWidth="1"/>
    <col min="1545" max="1546" width="9" style="3" customWidth="1"/>
    <col min="1547" max="1547" width="7.42578125" style="3" customWidth="1"/>
    <col min="1548" max="1551" width="0" style="3" hidden="1" customWidth="1"/>
    <col min="1552" max="1792" width="9.140625" style="3"/>
    <col min="1793" max="1793" width="4.140625" style="3" customWidth="1"/>
    <col min="1794" max="1794" width="6.140625" style="3" customWidth="1"/>
    <col min="1795" max="1795" width="41.42578125" style="3" customWidth="1"/>
    <col min="1796" max="1796" width="10.7109375" style="3" customWidth="1"/>
    <col min="1797" max="1800" width="9.42578125" style="3" customWidth="1"/>
    <col min="1801" max="1802" width="9" style="3" customWidth="1"/>
    <col min="1803" max="1803" width="7.42578125" style="3" customWidth="1"/>
    <col min="1804" max="1807" width="0" style="3" hidden="1" customWidth="1"/>
    <col min="1808" max="2048" width="9.140625" style="3"/>
    <col min="2049" max="2049" width="4.140625" style="3" customWidth="1"/>
    <col min="2050" max="2050" width="6.140625" style="3" customWidth="1"/>
    <col min="2051" max="2051" width="41.42578125" style="3" customWidth="1"/>
    <col min="2052" max="2052" width="10.7109375" style="3" customWidth="1"/>
    <col min="2053" max="2056" width="9.42578125" style="3" customWidth="1"/>
    <col min="2057" max="2058" width="9" style="3" customWidth="1"/>
    <col min="2059" max="2059" width="7.42578125" style="3" customWidth="1"/>
    <col min="2060" max="2063" width="0" style="3" hidden="1" customWidth="1"/>
    <col min="2064" max="2304" width="9.140625" style="3"/>
    <col min="2305" max="2305" width="4.140625" style="3" customWidth="1"/>
    <col min="2306" max="2306" width="6.140625" style="3" customWidth="1"/>
    <col min="2307" max="2307" width="41.42578125" style="3" customWidth="1"/>
    <col min="2308" max="2308" width="10.7109375" style="3" customWidth="1"/>
    <col min="2309" max="2312" width="9.42578125" style="3" customWidth="1"/>
    <col min="2313" max="2314" width="9" style="3" customWidth="1"/>
    <col min="2315" max="2315" width="7.42578125" style="3" customWidth="1"/>
    <col min="2316" max="2319" width="0" style="3" hidden="1" customWidth="1"/>
    <col min="2320" max="2560" width="9.140625" style="3"/>
    <col min="2561" max="2561" width="4.140625" style="3" customWidth="1"/>
    <col min="2562" max="2562" width="6.140625" style="3" customWidth="1"/>
    <col min="2563" max="2563" width="41.42578125" style="3" customWidth="1"/>
    <col min="2564" max="2564" width="10.7109375" style="3" customWidth="1"/>
    <col min="2565" max="2568" width="9.42578125" style="3" customWidth="1"/>
    <col min="2569" max="2570" width="9" style="3" customWidth="1"/>
    <col min="2571" max="2571" width="7.42578125" style="3" customWidth="1"/>
    <col min="2572" max="2575" width="0" style="3" hidden="1" customWidth="1"/>
    <col min="2576" max="2816" width="9.140625" style="3"/>
    <col min="2817" max="2817" width="4.140625" style="3" customWidth="1"/>
    <col min="2818" max="2818" width="6.140625" style="3" customWidth="1"/>
    <col min="2819" max="2819" width="41.42578125" style="3" customWidth="1"/>
    <col min="2820" max="2820" width="10.7109375" style="3" customWidth="1"/>
    <col min="2821" max="2824" width="9.42578125" style="3" customWidth="1"/>
    <col min="2825" max="2826" width="9" style="3" customWidth="1"/>
    <col min="2827" max="2827" width="7.42578125" style="3" customWidth="1"/>
    <col min="2828" max="2831" width="0" style="3" hidden="1" customWidth="1"/>
    <col min="2832" max="3072" width="9.140625" style="3"/>
    <col min="3073" max="3073" width="4.140625" style="3" customWidth="1"/>
    <col min="3074" max="3074" width="6.140625" style="3" customWidth="1"/>
    <col min="3075" max="3075" width="41.42578125" style="3" customWidth="1"/>
    <col min="3076" max="3076" width="10.7109375" style="3" customWidth="1"/>
    <col min="3077" max="3080" width="9.42578125" style="3" customWidth="1"/>
    <col min="3081" max="3082" width="9" style="3" customWidth="1"/>
    <col min="3083" max="3083" width="7.42578125" style="3" customWidth="1"/>
    <col min="3084" max="3087" width="0" style="3" hidden="1" customWidth="1"/>
    <col min="3088" max="3328" width="9.140625" style="3"/>
    <col min="3329" max="3329" width="4.140625" style="3" customWidth="1"/>
    <col min="3330" max="3330" width="6.140625" style="3" customWidth="1"/>
    <col min="3331" max="3331" width="41.42578125" style="3" customWidth="1"/>
    <col min="3332" max="3332" width="10.7109375" style="3" customWidth="1"/>
    <col min="3333" max="3336" width="9.42578125" style="3" customWidth="1"/>
    <col min="3337" max="3338" width="9" style="3" customWidth="1"/>
    <col min="3339" max="3339" width="7.42578125" style="3" customWidth="1"/>
    <col min="3340" max="3343" width="0" style="3" hidden="1" customWidth="1"/>
    <col min="3344" max="3584" width="9.140625" style="3"/>
    <col min="3585" max="3585" width="4.140625" style="3" customWidth="1"/>
    <col min="3586" max="3586" width="6.140625" style="3" customWidth="1"/>
    <col min="3587" max="3587" width="41.42578125" style="3" customWidth="1"/>
    <col min="3588" max="3588" width="10.7109375" style="3" customWidth="1"/>
    <col min="3589" max="3592" width="9.42578125" style="3" customWidth="1"/>
    <col min="3593" max="3594" width="9" style="3" customWidth="1"/>
    <col min="3595" max="3595" width="7.42578125" style="3" customWidth="1"/>
    <col min="3596" max="3599" width="0" style="3" hidden="1" customWidth="1"/>
    <col min="3600" max="3840" width="9.140625" style="3"/>
    <col min="3841" max="3841" width="4.140625" style="3" customWidth="1"/>
    <col min="3842" max="3842" width="6.140625" style="3" customWidth="1"/>
    <col min="3843" max="3843" width="41.42578125" style="3" customWidth="1"/>
    <col min="3844" max="3844" width="10.7109375" style="3" customWidth="1"/>
    <col min="3845" max="3848" width="9.42578125" style="3" customWidth="1"/>
    <col min="3849" max="3850" width="9" style="3" customWidth="1"/>
    <col min="3851" max="3851" width="7.42578125" style="3" customWidth="1"/>
    <col min="3852" max="3855" width="0" style="3" hidden="1" customWidth="1"/>
    <col min="3856" max="4096" width="9.140625" style="3"/>
    <col min="4097" max="4097" width="4.140625" style="3" customWidth="1"/>
    <col min="4098" max="4098" width="6.140625" style="3" customWidth="1"/>
    <col min="4099" max="4099" width="41.42578125" style="3" customWidth="1"/>
    <col min="4100" max="4100" width="10.7109375" style="3" customWidth="1"/>
    <col min="4101" max="4104" width="9.42578125" style="3" customWidth="1"/>
    <col min="4105" max="4106" width="9" style="3" customWidth="1"/>
    <col min="4107" max="4107" width="7.42578125" style="3" customWidth="1"/>
    <col min="4108" max="4111" width="0" style="3" hidden="1" customWidth="1"/>
    <col min="4112" max="4352" width="9.140625" style="3"/>
    <col min="4353" max="4353" width="4.140625" style="3" customWidth="1"/>
    <col min="4354" max="4354" width="6.140625" style="3" customWidth="1"/>
    <col min="4355" max="4355" width="41.42578125" style="3" customWidth="1"/>
    <col min="4356" max="4356" width="10.7109375" style="3" customWidth="1"/>
    <col min="4357" max="4360" width="9.42578125" style="3" customWidth="1"/>
    <col min="4361" max="4362" width="9" style="3" customWidth="1"/>
    <col min="4363" max="4363" width="7.42578125" style="3" customWidth="1"/>
    <col min="4364" max="4367" width="0" style="3" hidden="1" customWidth="1"/>
    <col min="4368" max="4608" width="9.140625" style="3"/>
    <col min="4609" max="4609" width="4.140625" style="3" customWidth="1"/>
    <col min="4610" max="4610" width="6.140625" style="3" customWidth="1"/>
    <col min="4611" max="4611" width="41.42578125" style="3" customWidth="1"/>
    <col min="4612" max="4612" width="10.7109375" style="3" customWidth="1"/>
    <col min="4613" max="4616" width="9.42578125" style="3" customWidth="1"/>
    <col min="4617" max="4618" width="9" style="3" customWidth="1"/>
    <col min="4619" max="4619" width="7.42578125" style="3" customWidth="1"/>
    <col min="4620" max="4623" width="0" style="3" hidden="1" customWidth="1"/>
    <col min="4624" max="4864" width="9.140625" style="3"/>
    <col min="4865" max="4865" width="4.140625" style="3" customWidth="1"/>
    <col min="4866" max="4866" width="6.140625" style="3" customWidth="1"/>
    <col min="4867" max="4867" width="41.42578125" style="3" customWidth="1"/>
    <col min="4868" max="4868" width="10.7109375" style="3" customWidth="1"/>
    <col min="4869" max="4872" width="9.42578125" style="3" customWidth="1"/>
    <col min="4873" max="4874" width="9" style="3" customWidth="1"/>
    <col min="4875" max="4875" width="7.42578125" style="3" customWidth="1"/>
    <col min="4876" max="4879" width="0" style="3" hidden="1" customWidth="1"/>
    <col min="4880" max="5120" width="9.140625" style="3"/>
    <col min="5121" max="5121" width="4.140625" style="3" customWidth="1"/>
    <col min="5122" max="5122" width="6.140625" style="3" customWidth="1"/>
    <col min="5123" max="5123" width="41.42578125" style="3" customWidth="1"/>
    <col min="5124" max="5124" width="10.7109375" style="3" customWidth="1"/>
    <col min="5125" max="5128" width="9.42578125" style="3" customWidth="1"/>
    <col min="5129" max="5130" width="9" style="3" customWidth="1"/>
    <col min="5131" max="5131" width="7.42578125" style="3" customWidth="1"/>
    <col min="5132" max="5135" width="0" style="3" hidden="1" customWidth="1"/>
    <col min="5136" max="5376" width="9.140625" style="3"/>
    <col min="5377" max="5377" width="4.140625" style="3" customWidth="1"/>
    <col min="5378" max="5378" width="6.140625" style="3" customWidth="1"/>
    <col min="5379" max="5379" width="41.42578125" style="3" customWidth="1"/>
    <col min="5380" max="5380" width="10.7109375" style="3" customWidth="1"/>
    <col min="5381" max="5384" width="9.42578125" style="3" customWidth="1"/>
    <col min="5385" max="5386" width="9" style="3" customWidth="1"/>
    <col min="5387" max="5387" width="7.42578125" style="3" customWidth="1"/>
    <col min="5388" max="5391" width="0" style="3" hidden="1" customWidth="1"/>
    <col min="5392" max="5632" width="9.140625" style="3"/>
    <col min="5633" max="5633" width="4.140625" style="3" customWidth="1"/>
    <col min="5634" max="5634" width="6.140625" style="3" customWidth="1"/>
    <col min="5635" max="5635" width="41.42578125" style="3" customWidth="1"/>
    <col min="5636" max="5636" width="10.7109375" style="3" customWidth="1"/>
    <col min="5637" max="5640" width="9.42578125" style="3" customWidth="1"/>
    <col min="5641" max="5642" width="9" style="3" customWidth="1"/>
    <col min="5643" max="5643" width="7.42578125" style="3" customWidth="1"/>
    <col min="5644" max="5647" width="0" style="3" hidden="1" customWidth="1"/>
    <col min="5648" max="5888" width="9.140625" style="3"/>
    <col min="5889" max="5889" width="4.140625" style="3" customWidth="1"/>
    <col min="5890" max="5890" width="6.140625" style="3" customWidth="1"/>
    <col min="5891" max="5891" width="41.42578125" style="3" customWidth="1"/>
    <col min="5892" max="5892" width="10.7109375" style="3" customWidth="1"/>
    <col min="5893" max="5896" width="9.42578125" style="3" customWidth="1"/>
    <col min="5897" max="5898" width="9" style="3" customWidth="1"/>
    <col min="5899" max="5899" width="7.42578125" style="3" customWidth="1"/>
    <col min="5900" max="5903" width="0" style="3" hidden="1" customWidth="1"/>
    <col min="5904" max="6144" width="9.140625" style="3"/>
    <col min="6145" max="6145" width="4.140625" style="3" customWidth="1"/>
    <col min="6146" max="6146" width="6.140625" style="3" customWidth="1"/>
    <col min="6147" max="6147" width="41.42578125" style="3" customWidth="1"/>
    <col min="6148" max="6148" width="10.7109375" style="3" customWidth="1"/>
    <col min="6149" max="6152" width="9.42578125" style="3" customWidth="1"/>
    <col min="6153" max="6154" width="9" style="3" customWidth="1"/>
    <col min="6155" max="6155" width="7.42578125" style="3" customWidth="1"/>
    <col min="6156" max="6159" width="0" style="3" hidden="1" customWidth="1"/>
    <col min="6160" max="6400" width="9.140625" style="3"/>
    <col min="6401" max="6401" width="4.140625" style="3" customWidth="1"/>
    <col min="6402" max="6402" width="6.140625" style="3" customWidth="1"/>
    <col min="6403" max="6403" width="41.42578125" style="3" customWidth="1"/>
    <col min="6404" max="6404" width="10.7109375" style="3" customWidth="1"/>
    <col min="6405" max="6408" width="9.42578125" style="3" customWidth="1"/>
    <col min="6409" max="6410" width="9" style="3" customWidth="1"/>
    <col min="6411" max="6411" width="7.42578125" style="3" customWidth="1"/>
    <col min="6412" max="6415" width="0" style="3" hidden="1" customWidth="1"/>
    <col min="6416" max="6656" width="9.140625" style="3"/>
    <col min="6657" max="6657" width="4.140625" style="3" customWidth="1"/>
    <col min="6658" max="6658" width="6.140625" style="3" customWidth="1"/>
    <col min="6659" max="6659" width="41.42578125" style="3" customWidth="1"/>
    <col min="6660" max="6660" width="10.7109375" style="3" customWidth="1"/>
    <col min="6661" max="6664" width="9.42578125" style="3" customWidth="1"/>
    <col min="6665" max="6666" width="9" style="3" customWidth="1"/>
    <col min="6667" max="6667" width="7.42578125" style="3" customWidth="1"/>
    <col min="6668" max="6671" width="0" style="3" hidden="1" customWidth="1"/>
    <col min="6672" max="6912" width="9.140625" style="3"/>
    <col min="6913" max="6913" width="4.140625" style="3" customWidth="1"/>
    <col min="6914" max="6914" width="6.140625" style="3" customWidth="1"/>
    <col min="6915" max="6915" width="41.42578125" style="3" customWidth="1"/>
    <col min="6916" max="6916" width="10.7109375" style="3" customWidth="1"/>
    <col min="6917" max="6920" width="9.42578125" style="3" customWidth="1"/>
    <col min="6921" max="6922" width="9" style="3" customWidth="1"/>
    <col min="6923" max="6923" width="7.42578125" style="3" customWidth="1"/>
    <col min="6924" max="6927" width="0" style="3" hidden="1" customWidth="1"/>
    <col min="6928" max="7168" width="9.140625" style="3"/>
    <col min="7169" max="7169" width="4.140625" style="3" customWidth="1"/>
    <col min="7170" max="7170" width="6.140625" style="3" customWidth="1"/>
    <col min="7171" max="7171" width="41.42578125" style="3" customWidth="1"/>
    <col min="7172" max="7172" width="10.7109375" style="3" customWidth="1"/>
    <col min="7173" max="7176" width="9.42578125" style="3" customWidth="1"/>
    <col min="7177" max="7178" width="9" style="3" customWidth="1"/>
    <col min="7179" max="7179" width="7.42578125" style="3" customWidth="1"/>
    <col min="7180" max="7183" width="0" style="3" hidden="1" customWidth="1"/>
    <col min="7184" max="7424" width="9.140625" style="3"/>
    <col min="7425" max="7425" width="4.140625" style="3" customWidth="1"/>
    <col min="7426" max="7426" width="6.140625" style="3" customWidth="1"/>
    <col min="7427" max="7427" width="41.42578125" style="3" customWidth="1"/>
    <col min="7428" max="7428" width="10.7109375" style="3" customWidth="1"/>
    <col min="7429" max="7432" width="9.42578125" style="3" customWidth="1"/>
    <col min="7433" max="7434" width="9" style="3" customWidth="1"/>
    <col min="7435" max="7435" width="7.42578125" style="3" customWidth="1"/>
    <col min="7436" max="7439" width="0" style="3" hidden="1" customWidth="1"/>
    <col min="7440" max="7680" width="9.140625" style="3"/>
    <col min="7681" max="7681" width="4.140625" style="3" customWidth="1"/>
    <col min="7682" max="7682" width="6.140625" style="3" customWidth="1"/>
    <col min="7683" max="7683" width="41.42578125" style="3" customWidth="1"/>
    <col min="7684" max="7684" width="10.7109375" style="3" customWidth="1"/>
    <col min="7685" max="7688" width="9.42578125" style="3" customWidth="1"/>
    <col min="7689" max="7690" width="9" style="3" customWidth="1"/>
    <col min="7691" max="7691" width="7.42578125" style="3" customWidth="1"/>
    <col min="7692" max="7695" width="0" style="3" hidden="1" customWidth="1"/>
    <col min="7696" max="7936" width="9.140625" style="3"/>
    <col min="7937" max="7937" width="4.140625" style="3" customWidth="1"/>
    <col min="7938" max="7938" width="6.140625" style="3" customWidth="1"/>
    <col min="7939" max="7939" width="41.42578125" style="3" customWidth="1"/>
    <col min="7940" max="7940" width="10.7109375" style="3" customWidth="1"/>
    <col min="7941" max="7944" width="9.42578125" style="3" customWidth="1"/>
    <col min="7945" max="7946" width="9" style="3" customWidth="1"/>
    <col min="7947" max="7947" width="7.42578125" style="3" customWidth="1"/>
    <col min="7948" max="7951" width="0" style="3" hidden="1" customWidth="1"/>
    <col min="7952" max="8192" width="9.140625" style="3"/>
    <col min="8193" max="8193" width="4.140625" style="3" customWidth="1"/>
    <col min="8194" max="8194" width="6.140625" style="3" customWidth="1"/>
    <col min="8195" max="8195" width="41.42578125" style="3" customWidth="1"/>
    <col min="8196" max="8196" width="10.7109375" style="3" customWidth="1"/>
    <col min="8197" max="8200" width="9.42578125" style="3" customWidth="1"/>
    <col min="8201" max="8202" width="9" style="3" customWidth="1"/>
    <col min="8203" max="8203" width="7.42578125" style="3" customWidth="1"/>
    <col min="8204" max="8207" width="0" style="3" hidden="1" customWidth="1"/>
    <col min="8208" max="8448" width="9.140625" style="3"/>
    <col min="8449" max="8449" width="4.140625" style="3" customWidth="1"/>
    <col min="8450" max="8450" width="6.140625" style="3" customWidth="1"/>
    <col min="8451" max="8451" width="41.42578125" style="3" customWidth="1"/>
    <col min="8452" max="8452" width="10.7109375" style="3" customWidth="1"/>
    <col min="8453" max="8456" width="9.42578125" style="3" customWidth="1"/>
    <col min="8457" max="8458" width="9" style="3" customWidth="1"/>
    <col min="8459" max="8459" width="7.42578125" style="3" customWidth="1"/>
    <col min="8460" max="8463" width="0" style="3" hidden="1" customWidth="1"/>
    <col min="8464" max="8704" width="9.140625" style="3"/>
    <col min="8705" max="8705" width="4.140625" style="3" customWidth="1"/>
    <col min="8706" max="8706" width="6.140625" style="3" customWidth="1"/>
    <col min="8707" max="8707" width="41.42578125" style="3" customWidth="1"/>
    <col min="8708" max="8708" width="10.7109375" style="3" customWidth="1"/>
    <col min="8709" max="8712" width="9.42578125" style="3" customWidth="1"/>
    <col min="8713" max="8714" width="9" style="3" customWidth="1"/>
    <col min="8715" max="8715" width="7.42578125" style="3" customWidth="1"/>
    <col min="8716" max="8719" width="0" style="3" hidden="1" customWidth="1"/>
    <col min="8720" max="8960" width="9.140625" style="3"/>
    <col min="8961" max="8961" width="4.140625" style="3" customWidth="1"/>
    <col min="8962" max="8962" width="6.140625" style="3" customWidth="1"/>
    <col min="8963" max="8963" width="41.42578125" style="3" customWidth="1"/>
    <col min="8964" max="8964" width="10.7109375" style="3" customWidth="1"/>
    <col min="8965" max="8968" width="9.42578125" style="3" customWidth="1"/>
    <col min="8969" max="8970" width="9" style="3" customWidth="1"/>
    <col min="8971" max="8971" width="7.42578125" style="3" customWidth="1"/>
    <col min="8972" max="8975" width="0" style="3" hidden="1" customWidth="1"/>
    <col min="8976" max="9216" width="9.140625" style="3"/>
    <col min="9217" max="9217" width="4.140625" style="3" customWidth="1"/>
    <col min="9218" max="9218" width="6.140625" style="3" customWidth="1"/>
    <col min="9219" max="9219" width="41.42578125" style="3" customWidth="1"/>
    <col min="9220" max="9220" width="10.7109375" style="3" customWidth="1"/>
    <col min="9221" max="9224" width="9.42578125" style="3" customWidth="1"/>
    <col min="9225" max="9226" width="9" style="3" customWidth="1"/>
    <col min="9227" max="9227" width="7.42578125" style="3" customWidth="1"/>
    <col min="9228" max="9231" width="0" style="3" hidden="1" customWidth="1"/>
    <col min="9232" max="9472" width="9.140625" style="3"/>
    <col min="9473" max="9473" width="4.140625" style="3" customWidth="1"/>
    <col min="9474" max="9474" width="6.140625" style="3" customWidth="1"/>
    <col min="9475" max="9475" width="41.42578125" style="3" customWidth="1"/>
    <col min="9476" max="9476" width="10.7109375" style="3" customWidth="1"/>
    <col min="9477" max="9480" width="9.42578125" style="3" customWidth="1"/>
    <col min="9481" max="9482" width="9" style="3" customWidth="1"/>
    <col min="9483" max="9483" width="7.42578125" style="3" customWidth="1"/>
    <col min="9484" max="9487" width="0" style="3" hidden="1" customWidth="1"/>
    <col min="9488" max="9728" width="9.140625" style="3"/>
    <col min="9729" max="9729" width="4.140625" style="3" customWidth="1"/>
    <col min="9730" max="9730" width="6.140625" style="3" customWidth="1"/>
    <col min="9731" max="9731" width="41.42578125" style="3" customWidth="1"/>
    <col min="9732" max="9732" width="10.7109375" style="3" customWidth="1"/>
    <col min="9733" max="9736" width="9.42578125" style="3" customWidth="1"/>
    <col min="9737" max="9738" width="9" style="3" customWidth="1"/>
    <col min="9739" max="9739" width="7.42578125" style="3" customWidth="1"/>
    <col min="9740" max="9743" width="0" style="3" hidden="1" customWidth="1"/>
    <col min="9744" max="9984" width="9.140625" style="3"/>
    <col min="9985" max="9985" width="4.140625" style="3" customWidth="1"/>
    <col min="9986" max="9986" width="6.140625" style="3" customWidth="1"/>
    <col min="9987" max="9987" width="41.42578125" style="3" customWidth="1"/>
    <col min="9988" max="9988" width="10.7109375" style="3" customWidth="1"/>
    <col min="9989" max="9992" width="9.42578125" style="3" customWidth="1"/>
    <col min="9993" max="9994" width="9" style="3" customWidth="1"/>
    <col min="9995" max="9995" width="7.42578125" style="3" customWidth="1"/>
    <col min="9996" max="9999" width="0" style="3" hidden="1" customWidth="1"/>
    <col min="10000" max="10240" width="9.140625" style="3"/>
    <col min="10241" max="10241" width="4.140625" style="3" customWidth="1"/>
    <col min="10242" max="10242" width="6.140625" style="3" customWidth="1"/>
    <col min="10243" max="10243" width="41.42578125" style="3" customWidth="1"/>
    <col min="10244" max="10244" width="10.7109375" style="3" customWidth="1"/>
    <col min="10245" max="10248" width="9.42578125" style="3" customWidth="1"/>
    <col min="10249" max="10250" width="9" style="3" customWidth="1"/>
    <col min="10251" max="10251" width="7.42578125" style="3" customWidth="1"/>
    <col min="10252" max="10255" width="0" style="3" hidden="1" customWidth="1"/>
    <col min="10256" max="10496" width="9.140625" style="3"/>
    <col min="10497" max="10497" width="4.140625" style="3" customWidth="1"/>
    <col min="10498" max="10498" width="6.140625" style="3" customWidth="1"/>
    <col min="10499" max="10499" width="41.42578125" style="3" customWidth="1"/>
    <col min="10500" max="10500" width="10.7109375" style="3" customWidth="1"/>
    <col min="10501" max="10504" width="9.42578125" style="3" customWidth="1"/>
    <col min="10505" max="10506" width="9" style="3" customWidth="1"/>
    <col min="10507" max="10507" width="7.42578125" style="3" customWidth="1"/>
    <col min="10508" max="10511" width="0" style="3" hidden="1" customWidth="1"/>
    <col min="10512" max="10752" width="9.140625" style="3"/>
    <col min="10753" max="10753" width="4.140625" style="3" customWidth="1"/>
    <col min="10754" max="10754" width="6.140625" style="3" customWidth="1"/>
    <col min="10755" max="10755" width="41.42578125" style="3" customWidth="1"/>
    <col min="10756" max="10756" width="10.7109375" style="3" customWidth="1"/>
    <col min="10757" max="10760" width="9.42578125" style="3" customWidth="1"/>
    <col min="10761" max="10762" width="9" style="3" customWidth="1"/>
    <col min="10763" max="10763" width="7.42578125" style="3" customWidth="1"/>
    <col min="10764" max="10767" width="0" style="3" hidden="1" customWidth="1"/>
    <col min="10768" max="11008" width="9.140625" style="3"/>
    <col min="11009" max="11009" width="4.140625" style="3" customWidth="1"/>
    <col min="11010" max="11010" width="6.140625" style="3" customWidth="1"/>
    <col min="11011" max="11011" width="41.42578125" style="3" customWidth="1"/>
    <col min="11012" max="11012" width="10.7109375" style="3" customWidth="1"/>
    <col min="11013" max="11016" width="9.42578125" style="3" customWidth="1"/>
    <col min="11017" max="11018" width="9" style="3" customWidth="1"/>
    <col min="11019" max="11019" width="7.42578125" style="3" customWidth="1"/>
    <col min="11020" max="11023" width="0" style="3" hidden="1" customWidth="1"/>
    <col min="11024" max="11264" width="9.140625" style="3"/>
    <col min="11265" max="11265" width="4.140625" style="3" customWidth="1"/>
    <col min="11266" max="11266" width="6.140625" style="3" customWidth="1"/>
    <col min="11267" max="11267" width="41.42578125" style="3" customWidth="1"/>
    <col min="11268" max="11268" width="10.7109375" style="3" customWidth="1"/>
    <col min="11269" max="11272" width="9.42578125" style="3" customWidth="1"/>
    <col min="11273" max="11274" width="9" style="3" customWidth="1"/>
    <col min="11275" max="11275" width="7.42578125" style="3" customWidth="1"/>
    <col min="11276" max="11279" width="0" style="3" hidden="1" customWidth="1"/>
    <col min="11280" max="11520" width="9.140625" style="3"/>
    <col min="11521" max="11521" width="4.140625" style="3" customWidth="1"/>
    <col min="11522" max="11522" width="6.140625" style="3" customWidth="1"/>
    <col min="11523" max="11523" width="41.42578125" style="3" customWidth="1"/>
    <col min="11524" max="11524" width="10.7109375" style="3" customWidth="1"/>
    <col min="11525" max="11528" width="9.42578125" style="3" customWidth="1"/>
    <col min="11529" max="11530" width="9" style="3" customWidth="1"/>
    <col min="11531" max="11531" width="7.42578125" style="3" customWidth="1"/>
    <col min="11532" max="11535" width="0" style="3" hidden="1" customWidth="1"/>
    <col min="11536" max="11776" width="9.140625" style="3"/>
    <col min="11777" max="11777" width="4.140625" style="3" customWidth="1"/>
    <col min="11778" max="11778" width="6.140625" style="3" customWidth="1"/>
    <col min="11779" max="11779" width="41.42578125" style="3" customWidth="1"/>
    <col min="11780" max="11780" width="10.7109375" style="3" customWidth="1"/>
    <col min="11781" max="11784" width="9.42578125" style="3" customWidth="1"/>
    <col min="11785" max="11786" width="9" style="3" customWidth="1"/>
    <col min="11787" max="11787" width="7.42578125" style="3" customWidth="1"/>
    <col min="11788" max="11791" width="0" style="3" hidden="1" customWidth="1"/>
    <col min="11792" max="12032" width="9.140625" style="3"/>
    <col min="12033" max="12033" width="4.140625" style="3" customWidth="1"/>
    <col min="12034" max="12034" width="6.140625" style="3" customWidth="1"/>
    <col min="12035" max="12035" width="41.42578125" style="3" customWidth="1"/>
    <col min="12036" max="12036" width="10.7109375" style="3" customWidth="1"/>
    <col min="12037" max="12040" width="9.42578125" style="3" customWidth="1"/>
    <col min="12041" max="12042" width="9" style="3" customWidth="1"/>
    <col min="12043" max="12043" width="7.42578125" style="3" customWidth="1"/>
    <col min="12044" max="12047" width="0" style="3" hidden="1" customWidth="1"/>
    <col min="12048" max="12288" width="9.140625" style="3"/>
    <col min="12289" max="12289" width="4.140625" style="3" customWidth="1"/>
    <col min="12290" max="12290" width="6.140625" style="3" customWidth="1"/>
    <col min="12291" max="12291" width="41.42578125" style="3" customWidth="1"/>
    <col min="12292" max="12292" width="10.7109375" style="3" customWidth="1"/>
    <col min="12293" max="12296" width="9.42578125" style="3" customWidth="1"/>
    <col min="12297" max="12298" width="9" style="3" customWidth="1"/>
    <col min="12299" max="12299" width="7.42578125" style="3" customWidth="1"/>
    <col min="12300" max="12303" width="0" style="3" hidden="1" customWidth="1"/>
    <col min="12304" max="12544" width="9.140625" style="3"/>
    <col min="12545" max="12545" width="4.140625" style="3" customWidth="1"/>
    <col min="12546" max="12546" width="6.140625" style="3" customWidth="1"/>
    <col min="12547" max="12547" width="41.42578125" style="3" customWidth="1"/>
    <col min="12548" max="12548" width="10.7109375" style="3" customWidth="1"/>
    <col min="12549" max="12552" width="9.42578125" style="3" customWidth="1"/>
    <col min="12553" max="12554" width="9" style="3" customWidth="1"/>
    <col min="12555" max="12555" width="7.42578125" style="3" customWidth="1"/>
    <col min="12556" max="12559" width="0" style="3" hidden="1" customWidth="1"/>
    <col min="12560" max="12800" width="9.140625" style="3"/>
    <col min="12801" max="12801" width="4.140625" style="3" customWidth="1"/>
    <col min="12802" max="12802" width="6.140625" style="3" customWidth="1"/>
    <col min="12803" max="12803" width="41.42578125" style="3" customWidth="1"/>
    <col min="12804" max="12804" width="10.7109375" style="3" customWidth="1"/>
    <col min="12805" max="12808" width="9.42578125" style="3" customWidth="1"/>
    <col min="12809" max="12810" width="9" style="3" customWidth="1"/>
    <col min="12811" max="12811" width="7.42578125" style="3" customWidth="1"/>
    <col min="12812" max="12815" width="0" style="3" hidden="1" customWidth="1"/>
    <col min="12816" max="13056" width="9.140625" style="3"/>
    <col min="13057" max="13057" width="4.140625" style="3" customWidth="1"/>
    <col min="13058" max="13058" width="6.140625" style="3" customWidth="1"/>
    <col min="13059" max="13059" width="41.42578125" style="3" customWidth="1"/>
    <col min="13060" max="13060" width="10.7109375" style="3" customWidth="1"/>
    <col min="13061" max="13064" width="9.42578125" style="3" customWidth="1"/>
    <col min="13065" max="13066" width="9" style="3" customWidth="1"/>
    <col min="13067" max="13067" width="7.42578125" style="3" customWidth="1"/>
    <col min="13068" max="13071" width="0" style="3" hidden="1" customWidth="1"/>
    <col min="13072" max="13312" width="9.140625" style="3"/>
    <col min="13313" max="13313" width="4.140625" style="3" customWidth="1"/>
    <col min="13314" max="13314" width="6.140625" style="3" customWidth="1"/>
    <col min="13315" max="13315" width="41.42578125" style="3" customWidth="1"/>
    <col min="13316" max="13316" width="10.7109375" style="3" customWidth="1"/>
    <col min="13317" max="13320" width="9.42578125" style="3" customWidth="1"/>
    <col min="13321" max="13322" width="9" style="3" customWidth="1"/>
    <col min="13323" max="13323" width="7.42578125" style="3" customWidth="1"/>
    <col min="13324" max="13327" width="0" style="3" hidden="1" customWidth="1"/>
    <col min="13328" max="13568" width="9.140625" style="3"/>
    <col min="13569" max="13569" width="4.140625" style="3" customWidth="1"/>
    <col min="13570" max="13570" width="6.140625" style="3" customWidth="1"/>
    <col min="13571" max="13571" width="41.42578125" style="3" customWidth="1"/>
    <col min="13572" max="13572" width="10.7109375" style="3" customWidth="1"/>
    <col min="13573" max="13576" width="9.42578125" style="3" customWidth="1"/>
    <col min="13577" max="13578" width="9" style="3" customWidth="1"/>
    <col min="13579" max="13579" width="7.42578125" style="3" customWidth="1"/>
    <col min="13580" max="13583" width="0" style="3" hidden="1" customWidth="1"/>
    <col min="13584" max="13824" width="9.140625" style="3"/>
    <col min="13825" max="13825" width="4.140625" style="3" customWidth="1"/>
    <col min="13826" max="13826" width="6.140625" style="3" customWidth="1"/>
    <col min="13827" max="13827" width="41.42578125" style="3" customWidth="1"/>
    <col min="13828" max="13828" width="10.7109375" style="3" customWidth="1"/>
    <col min="13829" max="13832" width="9.42578125" style="3" customWidth="1"/>
    <col min="13833" max="13834" width="9" style="3" customWidth="1"/>
    <col min="13835" max="13835" width="7.42578125" style="3" customWidth="1"/>
    <col min="13836" max="13839" width="0" style="3" hidden="1" customWidth="1"/>
    <col min="13840" max="14080" width="9.140625" style="3"/>
    <col min="14081" max="14081" width="4.140625" style="3" customWidth="1"/>
    <col min="14082" max="14082" width="6.140625" style="3" customWidth="1"/>
    <col min="14083" max="14083" width="41.42578125" style="3" customWidth="1"/>
    <col min="14084" max="14084" width="10.7109375" style="3" customWidth="1"/>
    <col min="14085" max="14088" width="9.42578125" style="3" customWidth="1"/>
    <col min="14089" max="14090" width="9" style="3" customWidth="1"/>
    <col min="14091" max="14091" width="7.42578125" style="3" customWidth="1"/>
    <col min="14092" max="14095" width="0" style="3" hidden="1" customWidth="1"/>
    <col min="14096" max="14336" width="9.140625" style="3"/>
    <col min="14337" max="14337" width="4.140625" style="3" customWidth="1"/>
    <col min="14338" max="14338" width="6.140625" style="3" customWidth="1"/>
    <col min="14339" max="14339" width="41.42578125" style="3" customWidth="1"/>
    <col min="14340" max="14340" width="10.7109375" style="3" customWidth="1"/>
    <col min="14341" max="14344" width="9.42578125" style="3" customWidth="1"/>
    <col min="14345" max="14346" width="9" style="3" customWidth="1"/>
    <col min="14347" max="14347" width="7.42578125" style="3" customWidth="1"/>
    <col min="14348" max="14351" width="0" style="3" hidden="1" customWidth="1"/>
    <col min="14352" max="14592" width="9.140625" style="3"/>
    <col min="14593" max="14593" width="4.140625" style="3" customWidth="1"/>
    <col min="14594" max="14594" width="6.140625" style="3" customWidth="1"/>
    <col min="14595" max="14595" width="41.42578125" style="3" customWidth="1"/>
    <col min="14596" max="14596" width="10.7109375" style="3" customWidth="1"/>
    <col min="14597" max="14600" width="9.42578125" style="3" customWidth="1"/>
    <col min="14601" max="14602" width="9" style="3" customWidth="1"/>
    <col min="14603" max="14603" width="7.42578125" style="3" customWidth="1"/>
    <col min="14604" max="14607" width="0" style="3" hidden="1" customWidth="1"/>
    <col min="14608" max="14848" width="9.140625" style="3"/>
    <col min="14849" max="14849" width="4.140625" style="3" customWidth="1"/>
    <col min="14850" max="14850" width="6.140625" style="3" customWidth="1"/>
    <col min="14851" max="14851" width="41.42578125" style="3" customWidth="1"/>
    <col min="14852" max="14852" width="10.7109375" style="3" customWidth="1"/>
    <col min="14853" max="14856" width="9.42578125" style="3" customWidth="1"/>
    <col min="14857" max="14858" width="9" style="3" customWidth="1"/>
    <col min="14859" max="14859" width="7.42578125" style="3" customWidth="1"/>
    <col min="14860" max="14863" width="0" style="3" hidden="1" customWidth="1"/>
    <col min="14864" max="15104" width="9.140625" style="3"/>
    <col min="15105" max="15105" width="4.140625" style="3" customWidth="1"/>
    <col min="15106" max="15106" width="6.140625" style="3" customWidth="1"/>
    <col min="15107" max="15107" width="41.42578125" style="3" customWidth="1"/>
    <col min="15108" max="15108" width="10.7109375" style="3" customWidth="1"/>
    <col min="15109" max="15112" width="9.42578125" style="3" customWidth="1"/>
    <col min="15113" max="15114" width="9" style="3" customWidth="1"/>
    <col min="15115" max="15115" width="7.42578125" style="3" customWidth="1"/>
    <col min="15116" max="15119" width="0" style="3" hidden="1" customWidth="1"/>
    <col min="15120" max="15360" width="9.140625" style="3"/>
    <col min="15361" max="15361" width="4.140625" style="3" customWidth="1"/>
    <col min="15362" max="15362" width="6.140625" style="3" customWidth="1"/>
    <col min="15363" max="15363" width="41.42578125" style="3" customWidth="1"/>
    <col min="15364" max="15364" width="10.7109375" style="3" customWidth="1"/>
    <col min="15365" max="15368" width="9.42578125" style="3" customWidth="1"/>
    <col min="15369" max="15370" width="9" style="3" customWidth="1"/>
    <col min="15371" max="15371" width="7.42578125" style="3" customWidth="1"/>
    <col min="15372" max="15375" width="0" style="3" hidden="1" customWidth="1"/>
    <col min="15376" max="15616" width="9.140625" style="3"/>
    <col min="15617" max="15617" width="4.140625" style="3" customWidth="1"/>
    <col min="15618" max="15618" width="6.140625" style="3" customWidth="1"/>
    <col min="15619" max="15619" width="41.42578125" style="3" customWidth="1"/>
    <col min="15620" max="15620" width="10.7109375" style="3" customWidth="1"/>
    <col min="15621" max="15624" width="9.42578125" style="3" customWidth="1"/>
    <col min="15625" max="15626" width="9" style="3" customWidth="1"/>
    <col min="15627" max="15627" width="7.42578125" style="3" customWidth="1"/>
    <col min="15628" max="15631" width="0" style="3" hidden="1" customWidth="1"/>
    <col min="15632" max="15872" width="9.140625" style="3"/>
    <col min="15873" max="15873" width="4.140625" style="3" customWidth="1"/>
    <col min="15874" max="15874" width="6.140625" style="3" customWidth="1"/>
    <col min="15875" max="15875" width="41.42578125" style="3" customWidth="1"/>
    <col min="15876" max="15876" width="10.7109375" style="3" customWidth="1"/>
    <col min="15877" max="15880" width="9.42578125" style="3" customWidth="1"/>
    <col min="15881" max="15882" width="9" style="3" customWidth="1"/>
    <col min="15883" max="15883" width="7.42578125" style="3" customWidth="1"/>
    <col min="15884" max="15887" width="0" style="3" hidden="1" customWidth="1"/>
    <col min="15888" max="16128" width="9.140625" style="3"/>
    <col min="16129" max="16129" width="4.140625" style="3" customWidth="1"/>
    <col min="16130" max="16130" width="6.140625" style="3" customWidth="1"/>
    <col min="16131" max="16131" width="41.42578125" style="3" customWidth="1"/>
    <col min="16132" max="16132" width="10.7109375" style="3" customWidth="1"/>
    <col min="16133" max="16136" width="9.42578125" style="3" customWidth="1"/>
    <col min="16137" max="16138" width="9" style="3" customWidth="1"/>
    <col min="16139" max="16139" width="7.42578125" style="3" customWidth="1"/>
    <col min="16140" max="16143" width="0" style="3" hidden="1" customWidth="1"/>
    <col min="16144" max="16384" width="9.140625" style="3"/>
  </cols>
  <sheetData>
    <row r="1" spans="1:20" x14ac:dyDescent="0.2">
      <c r="C1" s="239" t="s">
        <v>758</v>
      </c>
      <c r="D1" s="239"/>
      <c r="E1" s="239"/>
      <c r="F1" s="239"/>
      <c r="G1" s="239"/>
      <c r="H1" s="239"/>
      <c r="I1" s="239"/>
      <c r="J1" s="239"/>
      <c r="K1" s="239"/>
      <c r="L1" s="239"/>
      <c r="M1" s="239"/>
      <c r="N1" s="239"/>
      <c r="O1" s="239"/>
      <c r="P1" s="239"/>
    </row>
    <row r="2" spans="1:20" x14ac:dyDescent="0.2">
      <c r="C2" s="239" t="s">
        <v>765</v>
      </c>
      <c r="D2" s="239"/>
      <c r="E2" s="239"/>
      <c r="F2" s="239"/>
      <c r="G2" s="239"/>
      <c r="H2" s="239"/>
      <c r="I2" s="239"/>
      <c r="J2" s="239"/>
      <c r="K2" s="239"/>
      <c r="L2" s="239"/>
      <c r="M2" s="239"/>
      <c r="N2" s="239"/>
      <c r="O2" s="239"/>
      <c r="P2" s="239"/>
    </row>
    <row r="3" spans="1:20" hidden="1" x14ac:dyDescent="0.2">
      <c r="C3" s="239" t="s">
        <v>0</v>
      </c>
      <c r="D3" s="239"/>
      <c r="E3" s="239"/>
      <c r="F3" s="239"/>
      <c r="G3" s="239"/>
      <c r="H3" s="239"/>
      <c r="I3" s="239"/>
      <c r="J3" s="239"/>
      <c r="K3" s="239"/>
    </row>
    <row r="4" spans="1:20" x14ac:dyDescent="0.2">
      <c r="E4" s="259" t="s">
        <v>750</v>
      </c>
      <c r="F4" s="259"/>
      <c r="G4" s="259"/>
      <c r="H4" s="259"/>
      <c r="I4" s="259"/>
      <c r="J4" s="259"/>
      <c r="K4" s="259"/>
      <c r="L4" s="259"/>
      <c r="M4" s="259"/>
      <c r="N4" s="259"/>
      <c r="O4" s="259"/>
      <c r="P4" s="259"/>
    </row>
    <row r="5" spans="1:20" ht="15.75" x14ac:dyDescent="0.2">
      <c r="E5" s="6"/>
      <c r="F5" s="6"/>
      <c r="G5" s="6"/>
      <c r="H5" s="6"/>
      <c r="I5" s="6"/>
      <c r="J5" s="172"/>
      <c r="K5" s="6"/>
    </row>
    <row r="6" spans="1:20" ht="32.25" customHeight="1" x14ac:dyDescent="0.2">
      <c r="A6" s="295" t="s">
        <v>691</v>
      </c>
      <c r="B6" s="295"/>
      <c r="C6" s="295"/>
      <c r="D6" s="295"/>
      <c r="E6" s="295"/>
      <c r="F6" s="295"/>
      <c r="G6" s="295"/>
      <c r="H6" s="295"/>
      <c r="I6" s="295"/>
      <c r="J6" s="295"/>
      <c r="K6" s="295"/>
    </row>
    <row r="7" spans="1:20" x14ac:dyDescent="0.2">
      <c r="A7" s="173"/>
      <c r="B7" s="174"/>
      <c r="C7" s="175"/>
      <c r="D7" s="176"/>
      <c r="E7" s="177"/>
      <c r="F7" s="177"/>
      <c r="G7" s="177"/>
      <c r="H7" s="177"/>
      <c r="I7" s="177"/>
      <c r="J7" s="258" t="s">
        <v>3</v>
      </c>
      <c r="K7" s="258"/>
      <c r="L7" s="258"/>
      <c r="M7" s="258"/>
      <c r="N7" s="258"/>
      <c r="O7" s="258"/>
      <c r="P7" s="258"/>
    </row>
    <row r="8" spans="1:20" ht="12.75" customHeight="1" x14ac:dyDescent="0.2">
      <c r="A8" s="242" t="s">
        <v>504</v>
      </c>
      <c r="B8" s="268" t="s">
        <v>505</v>
      </c>
      <c r="C8" s="268" t="s">
        <v>6</v>
      </c>
      <c r="D8" s="242" t="s">
        <v>7</v>
      </c>
      <c r="E8" s="246" t="s">
        <v>8</v>
      </c>
      <c r="F8" s="247"/>
      <c r="G8" s="246" t="s">
        <v>692</v>
      </c>
      <c r="H8" s="256"/>
      <c r="I8" s="256"/>
      <c r="J8" s="256"/>
      <c r="K8" s="256"/>
      <c r="L8" s="256"/>
      <c r="M8" s="256"/>
      <c r="N8" s="256"/>
      <c r="O8" s="256"/>
      <c r="P8" s="247"/>
    </row>
    <row r="9" spans="1:20" ht="12.75" customHeight="1" x14ac:dyDescent="0.2">
      <c r="A9" s="264"/>
      <c r="B9" s="269"/>
      <c r="C9" s="269"/>
      <c r="D9" s="264"/>
      <c r="E9" s="248"/>
      <c r="F9" s="249"/>
      <c r="G9" s="240" t="s">
        <v>10</v>
      </c>
      <c r="H9" s="285"/>
      <c r="I9" s="285"/>
      <c r="J9" s="241"/>
      <c r="K9" s="246" t="s">
        <v>11</v>
      </c>
      <c r="L9" s="256"/>
      <c r="M9" s="256"/>
      <c r="N9" s="256"/>
      <c r="O9" s="256"/>
      <c r="P9" s="247"/>
    </row>
    <row r="10" spans="1:20" ht="26.45" customHeight="1" x14ac:dyDescent="0.2">
      <c r="A10" s="264"/>
      <c r="B10" s="269"/>
      <c r="C10" s="269"/>
      <c r="D10" s="264"/>
      <c r="E10" s="242" t="s">
        <v>12</v>
      </c>
      <c r="F10" s="242" t="s">
        <v>13</v>
      </c>
      <c r="G10" s="240" t="s">
        <v>506</v>
      </c>
      <c r="H10" s="241"/>
      <c r="I10" s="240" t="s">
        <v>14</v>
      </c>
      <c r="J10" s="241"/>
      <c r="K10" s="242" t="s">
        <v>12</v>
      </c>
      <c r="P10" s="244" t="s">
        <v>13</v>
      </c>
    </row>
    <row r="11" spans="1:20" ht="16.899999999999999" customHeight="1" x14ac:dyDescent="0.2">
      <c r="A11" s="243"/>
      <c r="B11" s="270"/>
      <c r="C11" s="270"/>
      <c r="D11" s="243"/>
      <c r="E11" s="243"/>
      <c r="F11" s="243"/>
      <c r="G11" s="8" t="s">
        <v>12</v>
      </c>
      <c r="H11" s="8" t="s">
        <v>13</v>
      </c>
      <c r="I11" s="8" t="s">
        <v>12</v>
      </c>
      <c r="J11" s="178" t="s">
        <v>693</v>
      </c>
      <c r="K11" s="243"/>
      <c r="P11" s="245"/>
    </row>
    <row r="12" spans="1:20" s="102" customFormat="1" ht="12.75" customHeight="1" x14ac:dyDescent="0.2">
      <c r="A12" s="9">
        <v>1</v>
      </c>
      <c r="B12" s="12" t="s">
        <v>15</v>
      </c>
      <c r="C12" s="12" t="s">
        <v>694</v>
      </c>
      <c r="D12" s="8">
        <v>4</v>
      </c>
      <c r="E12" s="8">
        <v>5</v>
      </c>
      <c r="F12" s="8">
        <v>6</v>
      </c>
      <c r="G12" s="8">
        <v>7</v>
      </c>
      <c r="H12" s="8">
        <v>8</v>
      </c>
      <c r="I12" s="8">
        <v>9</v>
      </c>
      <c r="J12" s="178">
        <v>10</v>
      </c>
      <c r="K12" s="9">
        <v>11</v>
      </c>
      <c r="L12" s="3"/>
      <c r="M12" s="3"/>
      <c r="N12" s="3"/>
      <c r="O12" s="3"/>
      <c r="P12" s="9">
        <v>12</v>
      </c>
    </row>
    <row r="13" spans="1:20" s="102" customFormat="1" ht="20.100000000000001" customHeight="1" x14ac:dyDescent="0.2">
      <c r="A13" s="13">
        <v>1</v>
      </c>
      <c r="B13" s="11" t="s">
        <v>16</v>
      </c>
      <c r="C13" s="14" t="s">
        <v>17</v>
      </c>
      <c r="D13" s="8"/>
      <c r="E13" s="15">
        <f t="shared" ref="E13:F28" si="0">+G13+K13</f>
        <v>11597.4</v>
      </c>
      <c r="F13" s="15">
        <f>+H13+P13</f>
        <v>11597.1</v>
      </c>
      <c r="G13" s="15">
        <f t="shared" ref="G13:P13" si="1">+G14</f>
        <v>11566.4</v>
      </c>
      <c r="H13" s="15">
        <f t="shared" si="1"/>
        <v>11566.1</v>
      </c>
      <c r="I13" s="15">
        <f t="shared" si="1"/>
        <v>11129.300000000001</v>
      </c>
      <c r="J13" s="179">
        <f t="shared" si="1"/>
        <v>11129.000000000002</v>
      </c>
      <c r="K13" s="15">
        <f t="shared" si="1"/>
        <v>31.000000000000004</v>
      </c>
      <c r="L13" s="15">
        <f t="shared" si="1"/>
        <v>0</v>
      </c>
      <c r="M13" s="15">
        <f t="shared" si="1"/>
        <v>-28.700000000000003</v>
      </c>
      <c r="N13" s="15">
        <f t="shared" si="1"/>
        <v>-24.6</v>
      </c>
      <c r="O13" s="15">
        <f t="shared" si="1"/>
        <v>28.700000000000003</v>
      </c>
      <c r="P13" s="15">
        <f t="shared" si="1"/>
        <v>31.000000000000004</v>
      </c>
    </row>
    <row r="14" spans="1:20" s="102" customFormat="1" ht="24.95" customHeight="1" x14ac:dyDescent="0.2">
      <c r="A14" s="13">
        <v>2</v>
      </c>
      <c r="B14" s="16"/>
      <c r="C14" s="180" t="s">
        <v>695</v>
      </c>
      <c r="D14" s="8"/>
      <c r="E14" s="181">
        <f t="shared" si="0"/>
        <v>11597.4</v>
      </c>
      <c r="F14" s="181">
        <f>+H14+P14</f>
        <v>11597.1</v>
      </c>
      <c r="G14" s="181">
        <f t="shared" ref="G14:P14" si="2">+G16+G19+G20+G21+G15+G17+G18+G22+G27+G24+G37+G23+G29+G30+G25+G26+G28+G31+G32+G33+G34+G35+G36+G38+G39+G40+G41+G42+G48+G47</f>
        <v>11566.4</v>
      </c>
      <c r="H14" s="181">
        <f t="shared" si="2"/>
        <v>11566.1</v>
      </c>
      <c r="I14" s="181">
        <f t="shared" si="2"/>
        <v>11129.300000000001</v>
      </c>
      <c r="J14" s="182">
        <f t="shared" si="2"/>
        <v>11129.000000000002</v>
      </c>
      <c r="K14" s="181">
        <f t="shared" si="2"/>
        <v>31.000000000000004</v>
      </c>
      <c r="L14" s="181">
        <f t="shared" si="2"/>
        <v>0</v>
      </c>
      <c r="M14" s="181">
        <f t="shared" si="2"/>
        <v>-28.700000000000003</v>
      </c>
      <c r="N14" s="181">
        <f t="shared" si="2"/>
        <v>-24.6</v>
      </c>
      <c r="O14" s="181">
        <f t="shared" si="2"/>
        <v>28.700000000000003</v>
      </c>
      <c r="P14" s="181">
        <f t="shared" si="2"/>
        <v>31.000000000000004</v>
      </c>
    </row>
    <row r="15" spans="1:20" ht="14.25" customHeight="1" x14ac:dyDescent="0.2">
      <c r="A15" s="13">
        <v>3</v>
      </c>
      <c r="B15" s="16"/>
      <c r="C15" s="104" t="s">
        <v>18</v>
      </c>
      <c r="D15" s="16" t="s">
        <v>21</v>
      </c>
      <c r="E15" s="20">
        <f>+G15+P15</f>
        <v>181.79999999999998</v>
      </c>
      <c r="F15" s="20">
        <f t="shared" si="0"/>
        <v>181.8</v>
      </c>
      <c r="G15" s="20">
        <f>181.2+0.6</f>
        <v>181.79999999999998</v>
      </c>
      <c r="H15" s="20">
        <v>181.8</v>
      </c>
      <c r="I15" s="20">
        <f>172.7+0.6</f>
        <v>173.29999999999998</v>
      </c>
      <c r="J15" s="32">
        <v>173.3</v>
      </c>
      <c r="K15" s="20"/>
      <c r="L15" s="22">
        <f t="shared" ref="L15:L48" si="3">+M15+O15</f>
        <v>0</v>
      </c>
      <c r="M15" s="22"/>
      <c r="N15" s="22"/>
      <c r="O15" s="22"/>
      <c r="P15" s="107"/>
    </row>
    <row r="16" spans="1:20" ht="12.6" customHeight="1" x14ac:dyDescent="0.2">
      <c r="A16" s="13">
        <v>4</v>
      </c>
      <c r="B16" s="16"/>
      <c r="C16" s="104" t="s">
        <v>20</v>
      </c>
      <c r="D16" s="16" t="s">
        <v>21</v>
      </c>
      <c r="E16" s="20">
        <f t="shared" si="0"/>
        <v>204.70000000000002</v>
      </c>
      <c r="F16" s="20">
        <f t="shared" ref="F16:F49" si="4">+H16+P16</f>
        <v>204.7</v>
      </c>
      <c r="G16" s="20">
        <f>202.9+1.8</f>
        <v>204.70000000000002</v>
      </c>
      <c r="H16" s="20">
        <v>204.7</v>
      </c>
      <c r="I16" s="20">
        <f>193.2+2</f>
        <v>195.2</v>
      </c>
      <c r="J16" s="32">
        <v>195.2</v>
      </c>
      <c r="K16" s="20"/>
      <c r="L16" s="22">
        <f t="shared" si="3"/>
        <v>0</v>
      </c>
      <c r="M16" s="22"/>
      <c r="N16" s="22"/>
      <c r="O16" s="22"/>
      <c r="P16" s="107"/>
      <c r="T16" s="231"/>
    </row>
    <row r="17" spans="1:20" ht="12.6" customHeight="1" x14ac:dyDescent="0.2">
      <c r="A17" s="13">
        <v>5</v>
      </c>
      <c r="B17" s="16"/>
      <c r="C17" s="104" t="s">
        <v>22</v>
      </c>
      <c r="D17" s="16" t="s">
        <v>21</v>
      </c>
      <c r="E17" s="20">
        <f t="shared" si="0"/>
        <v>210.29999999999998</v>
      </c>
      <c r="F17" s="20">
        <f t="shared" si="4"/>
        <v>210.3</v>
      </c>
      <c r="G17" s="20">
        <f>212.1-1.8-2.9</f>
        <v>207.39999999999998</v>
      </c>
      <c r="H17" s="20">
        <v>207.4</v>
      </c>
      <c r="I17" s="20">
        <f>201.7-1.8-2.9</f>
        <v>196.99999999999997</v>
      </c>
      <c r="J17" s="32">
        <v>197</v>
      </c>
      <c r="K17" s="20">
        <v>2.9</v>
      </c>
      <c r="L17" s="22">
        <f t="shared" si="3"/>
        <v>0</v>
      </c>
      <c r="M17" s="22">
        <v>-2.9</v>
      </c>
      <c r="N17" s="22">
        <v>-2.9</v>
      </c>
      <c r="O17" s="22">
        <v>2.9</v>
      </c>
      <c r="P17" s="107">
        <v>2.9</v>
      </c>
      <c r="T17" s="231"/>
    </row>
    <row r="18" spans="1:20" ht="12.6" customHeight="1" x14ac:dyDescent="0.2">
      <c r="A18" s="13">
        <v>6</v>
      </c>
      <c r="B18" s="16"/>
      <c r="C18" s="104" t="s">
        <v>23</v>
      </c>
      <c r="D18" s="16" t="s">
        <v>21</v>
      </c>
      <c r="E18" s="20">
        <f t="shared" si="0"/>
        <v>223.5</v>
      </c>
      <c r="F18" s="20">
        <f t="shared" si="4"/>
        <v>223.5</v>
      </c>
      <c r="G18" s="20">
        <f>227.5-4</f>
        <v>223.5</v>
      </c>
      <c r="H18" s="20">
        <v>223.5</v>
      </c>
      <c r="I18" s="20">
        <f>216-4</f>
        <v>212</v>
      </c>
      <c r="J18" s="32">
        <v>212</v>
      </c>
      <c r="K18" s="20"/>
      <c r="L18" s="22">
        <f t="shared" si="3"/>
        <v>0</v>
      </c>
      <c r="M18" s="22"/>
      <c r="N18" s="22"/>
      <c r="O18" s="22"/>
      <c r="P18" s="107"/>
      <c r="T18" s="231"/>
    </row>
    <row r="19" spans="1:20" ht="12.6" customHeight="1" x14ac:dyDescent="0.2">
      <c r="A19" s="13">
        <v>7</v>
      </c>
      <c r="B19" s="16"/>
      <c r="C19" s="104" t="s">
        <v>24</v>
      </c>
      <c r="D19" s="16" t="s">
        <v>21</v>
      </c>
      <c r="E19" s="20">
        <f t="shared" si="0"/>
        <v>227.39999999999998</v>
      </c>
      <c r="F19" s="20">
        <f t="shared" si="4"/>
        <v>227.4</v>
      </c>
      <c r="G19" s="20">
        <f>232.7-5.3</f>
        <v>227.39999999999998</v>
      </c>
      <c r="H19" s="20">
        <v>227.4</v>
      </c>
      <c r="I19" s="20">
        <f>221.1-5-1.5</f>
        <v>214.6</v>
      </c>
      <c r="J19" s="32">
        <v>214.6</v>
      </c>
      <c r="K19" s="20"/>
      <c r="L19" s="22">
        <f t="shared" si="3"/>
        <v>0</v>
      </c>
      <c r="M19" s="22"/>
      <c r="N19" s="22">
        <v>-1.5</v>
      </c>
      <c r="O19" s="22"/>
      <c r="P19" s="107"/>
    </row>
    <row r="20" spans="1:20" ht="12.6" customHeight="1" x14ac:dyDescent="0.2">
      <c r="A20" s="13">
        <v>8</v>
      </c>
      <c r="B20" s="16"/>
      <c r="C20" s="104" t="s">
        <v>25</v>
      </c>
      <c r="D20" s="16" t="s">
        <v>21</v>
      </c>
      <c r="E20" s="20">
        <f t="shared" si="0"/>
        <v>196.29999999999998</v>
      </c>
      <c r="F20" s="20">
        <f t="shared" si="4"/>
        <v>196.3</v>
      </c>
      <c r="G20" s="20">
        <f>186.7+9.6</f>
        <v>196.29999999999998</v>
      </c>
      <c r="H20" s="20">
        <v>196.3</v>
      </c>
      <c r="I20" s="20">
        <f>178.6+9.5</f>
        <v>188.1</v>
      </c>
      <c r="J20" s="32">
        <v>188.1</v>
      </c>
      <c r="K20" s="20"/>
      <c r="L20" s="22">
        <f t="shared" si="3"/>
        <v>0</v>
      </c>
      <c r="M20" s="22"/>
      <c r="N20" s="22"/>
      <c r="O20" s="22"/>
      <c r="P20" s="107"/>
    </row>
    <row r="21" spans="1:20" ht="12.6" customHeight="1" x14ac:dyDescent="0.2">
      <c r="A21" s="13">
        <v>9</v>
      </c>
      <c r="B21" s="16"/>
      <c r="C21" s="104" t="s">
        <v>26</v>
      </c>
      <c r="D21" s="16" t="s">
        <v>21</v>
      </c>
      <c r="E21" s="20">
        <f t="shared" si="0"/>
        <v>204.3</v>
      </c>
      <c r="F21" s="20">
        <f t="shared" si="4"/>
        <v>204.3</v>
      </c>
      <c r="G21" s="20">
        <f>198.5+5.8</f>
        <v>204.3</v>
      </c>
      <c r="H21" s="20">
        <v>204.3</v>
      </c>
      <c r="I21" s="20">
        <f>187.9+5.5</f>
        <v>193.4</v>
      </c>
      <c r="J21" s="32">
        <v>193.4</v>
      </c>
      <c r="K21" s="20"/>
      <c r="L21" s="22">
        <f t="shared" si="3"/>
        <v>0</v>
      </c>
      <c r="M21" s="22"/>
      <c r="N21" s="22"/>
      <c r="O21" s="22"/>
      <c r="P21" s="107"/>
      <c r="Q21" s="102"/>
    </row>
    <row r="22" spans="1:20" ht="12.6" customHeight="1" x14ac:dyDescent="0.2">
      <c r="A22" s="13">
        <v>10</v>
      </c>
      <c r="B22" s="26"/>
      <c r="C22" s="109" t="s">
        <v>27</v>
      </c>
      <c r="D22" s="26" t="s">
        <v>28</v>
      </c>
      <c r="E22" s="20">
        <f t="shared" si="0"/>
        <v>252.5</v>
      </c>
      <c r="F22" s="20">
        <f t="shared" si="4"/>
        <v>252.5</v>
      </c>
      <c r="G22" s="20">
        <f>254.6-2.1</f>
        <v>252.5</v>
      </c>
      <c r="H22" s="20">
        <v>252.5</v>
      </c>
      <c r="I22" s="20">
        <f>243.4-2</f>
        <v>241.4</v>
      </c>
      <c r="J22" s="32">
        <v>241.4</v>
      </c>
      <c r="K22" s="20"/>
      <c r="L22" s="22">
        <f t="shared" si="3"/>
        <v>0</v>
      </c>
      <c r="M22" s="22"/>
      <c r="N22" s="22"/>
      <c r="O22" s="22"/>
      <c r="P22" s="107"/>
    </row>
    <row r="23" spans="1:20" ht="12.6" customHeight="1" x14ac:dyDescent="0.2">
      <c r="A23" s="13">
        <v>11</v>
      </c>
      <c r="B23" s="26"/>
      <c r="C23" s="104" t="s">
        <v>29</v>
      </c>
      <c r="D23" s="26" t="s">
        <v>30</v>
      </c>
      <c r="E23" s="20">
        <f t="shared" si="0"/>
        <v>821.3</v>
      </c>
      <c r="F23" s="20">
        <f t="shared" si="4"/>
        <v>821.3</v>
      </c>
      <c r="G23" s="20">
        <f>803.8+17.5-7</f>
        <v>814.3</v>
      </c>
      <c r="H23" s="20">
        <v>814.3</v>
      </c>
      <c r="I23" s="20">
        <f>773+17.5</f>
        <v>790.5</v>
      </c>
      <c r="J23" s="32">
        <v>790.5</v>
      </c>
      <c r="K23" s="20">
        <v>7</v>
      </c>
      <c r="L23" s="22">
        <f t="shared" si="3"/>
        <v>0</v>
      </c>
      <c r="M23" s="22">
        <v>-7</v>
      </c>
      <c r="N23" s="22"/>
      <c r="O23" s="22">
        <v>7</v>
      </c>
      <c r="P23" s="108">
        <v>7</v>
      </c>
    </row>
    <row r="24" spans="1:20" ht="14.25" customHeight="1" x14ac:dyDescent="0.2">
      <c r="A24" s="13">
        <v>12</v>
      </c>
      <c r="B24" s="26"/>
      <c r="C24" s="104" t="s">
        <v>31</v>
      </c>
      <c r="D24" s="16" t="s">
        <v>30</v>
      </c>
      <c r="E24" s="20">
        <f t="shared" si="0"/>
        <v>773.5</v>
      </c>
      <c r="F24" s="20">
        <f t="shared" si="4"/>
        <v>773.5</v>
      </c>
      <c r="G24" s="20">
        <f>755.1+18.4</f>
        <v>773.5</v>
      </c>
      <c r="H24" s="20">
        <v>773.5</v>
      </c>
      <c r="I24" s="20">
        <f>726.7+18.2</f>
        <v>744.90000000000009</v>
      </c>
      <c r="J24" s="32">
        <v>744.9</v>
      </c>
      <c r="K24" s="20"/>
      <c r="L24" s="22">
        <f t="shared" si="3"/>
        <v>0</v>
      </c>
      <c r="M24" s="22"/>
      <c r="N24" s="22"/>
      <c r="O24" s="22"/>
      <c r="P24" s="107"/>
    </row>
    <row r="25" spans="1:20" ht="12.6" customHeight="1" x14ac:dyDescent="0.2">
      <c r="A25" s="13">
        <v>13</v>
      </c>
      <c r="B25" s="16"/>
      <c r="C25" s="109" t="s">
        <v>33</v>
      </c>
      <c r="D25" s="16" t="s">
        <v>30</v>
      </c>
      <c r="E25" s="20">
        <f t="shared" si="0"/>
        <v>703.30000000000007</v>
      </c>
      <c r="F25" s="20">
        <f t="shared" si="4"/>
        <v>703.3</v>
      </c>
      <c r="G25" s="20">
        <f>727.2-23.9</f>
        <v>703.30000000000007</v>
      </c>
      <c r="H25" s="20">
        <v>703.3</v>
      </c>
      <c r="I25" s="20">
        <f>700.8-23.5-1.4</f>
        <v>675.9</v>
      </c>
      <c r="J25" s="32">
        <v>675.9</v>
      </c>
      <c r="K25" s="20"/>
      <c r="L25" s="22">
        <f t="shared" si="3"/>
        <v>0</v>
      </c>
      <c r="M25" s="22"/>
      <c r="N25" s="22">
        <v>-1.4</v>
      </c>
      <c r="O25" s="22"/>
      <c r="P25" s="107"/>
    </row>
    <row r="26" spans="1:20" ht="12.6" customHeight="1" x14ac:dyDescent="0.2">
      <c r="A26" s="13">
        <v>14</v>
      </c>
      <c r="B26" s="26"/>
      <c r="C26" s="109" t="s">
        <v>34</v>
      </c>
      <c r="D26" s="26" t="s">
        <v>30</v>
      </c>
      <c r="E26" s="20">
        <f t="shared" si="0"/>
        <v>619.80000000000007</v>
      </c>
      <c r="F26" s="20">
        <f t="shared" si="4"/>
        <v>619.79999999999995</v>
      </c>
      <c r="G26" s="20">
        <f>595.6+24.2</f>
        <v>619.80000000000007</v>
      </c>
      <c r="H26" s="20">
        <v>619.79999999999995</v>
      </c>
      <c r="I26" s="20">
        <f>574.1+24+1.5</f>
        <v>599.6</v>
      </c>
      <c r="J26" s="32">
        <v>599.6</v>
      </c>
      <c r="K26" s="20"/>
      <c r="L26" s="22">
        <f t="shared" si="3"/>
        <v>0</v>
      </c>
      <c r="M26" s="22"/>
      <c r="N26" s="22">
        <v>1.5</v>
      </c>
      <c r="O26" s="22"/>
      <c r="P26" s="107"/>
    </row>
    <row r="27" spans="1:20" ht="12.6" customHeight="1" x14ac:dyDescent="0.2">
      <c r="A27" s="13">
        <v>15</v>
      </c>
      <c r="B27" s="26"/>
      <c r="C27" s="109" t="s">
        <v>35</v>
      </c>
      <c r="D27" s="26" t="s">
        <v>30</v>
      </c>
      <c r="E27" s="20">
        <f t="shared" si="0"/>
        <v>572.5</v>
      </c>
      <c r="F27" s="20">
        <f t="shared" si="4"/>
        <v>572.5</v>
      </c>
      <c r="G27" s="20">
        <f>562.2+10.3</f>
        <v>572.5</v>
      </c>
      <c r="H27" s="20">
        <v>572.5</v>
      </c>
      <c r="I27" s="20">
        <f>541.7+10.4-1.6</f>
        <v>550.5</v>
      </c>
      <c r="J27" s="32">
        <v>550.5</v>
      </c>
      <c r="K27" s="20"/>
      <c r="L27" s="22">
        <f t="shared" si="3"/>
        <v>0</v>
      </c>
      <c r="M27" s="22"/>
      <c r="N27" s="22">
        <v>-1.6</v>
      </c>
      <c r="O27" s="22"/>
      <c r="P27" s="107"/>
    </row>
    <row r="28" spans="1:20" ht="12.6" customHeight="1" x14ac:dyDescent="0.2">
      <c r="A28" s="13">
        <v>16</v>
      </c>
      <c r="B28" s="26"/>
      <c r="C28" s="104" t="s">
        <v>36</v>
      </c>
      <c r="D28" s="26" t="s">
        <v>30</v>
      </c>
      <c r="E28" s="20">
        <f t="shared" si="0"/>
        <v>472.90000000000003</v>
      </c>
      <c r="F28" s="20">
        <f t="shared" si="4"/>
        <v>472.90000000000003</v>
      </c>
      <c r="G28" s="20">
        <f>463.8-2.3+9.1</f>
        <v>470.6</v>
      </c>
      <c r="H28" s="20">
        <v>470.6</v>
      </c>
      <c r="I28" s="20">
        <f>446.7+9+1.7</f>
        <v>457.4</v>
      </c>
      <c r="J28" s="32">
        <v>457.4</v>
      </c>
      <c r="K28" s="20">
        <v>2.2999999999999998</v>
      </c>
      <c r="L28" s="22">
        <f t="shared" si="3"/>
        <v>0</v>
      </c>
      <c r="M28" s="22"/>
      <c r="N28" s="22">
        <v>1.7</v>
      </c>
      <c r="O28" s="22"/>
      <c r="P28" s="107">
        <v>2.2999999999999998</v>
      </c>
    </row>
    <row r="29" spans="1:20" ht="24.95" customHeight="1" x14ac:dyDescent="0.2">
      <c r="A29" s="13">
        <v>17</v>
      </c>
      <c r="B29" s="16"/>
      <c r="C29" s="109" t="s">
        <v>37</v>
      </c>
      <c r="D29" s="16" t="s">
        <v>38</v>
      </c>
      <c r="E29" s="20">
        <f t="shared" ref="E29:E49" si="5">+G29+K29</f>
        <v>1096.2</v>
      </c>
      <c r="F29" s="20">
        <f t="shared" si="4"/>
        <v>1096.2</v>
      </c>
      <c r="G29" s="20">
        <f>1058.2+38-8.8</f>
        <v>1087.4000000000001</v>
      </c>
      <c r="H29" s="20">
        <v>1087.4000000000001</v>
      </c>
      <c r="I29" s="20">
        <f>1011.3+37.4</f>
        <v>1048.7</v>
      </c>
      <c r="J29" s="32">
        <v>1048.7</v>
      </c>
      <c r="K29" s="20">
        <v>8.8000000000000007</v>
      </c>
      <c r="L29" s="22">
        <f t="shared" si="3"/>
        <v>0</v>
      </c>
      <c r="M29" s="22">
        <v>-8.8000000000000007</v>
      </c>
      <c r="N29" s="22"/>
      <c r="O29" s="22">
        <v>8.8000000000000007</v>
      </c>
      <c r="P29" s="24">
        <v>8.8000000000000007</v>
      </c>
    </row>
    <row r="30" spans="1:20" ht="12.6" customHeight="1" x14ac:dyDescent="0.2">
      <c r="A30" s="13">
        <v>18</v>
      </c>
      <c r="B30" s="16"/>
      <c r="C30" s="104" t="s">
        <v>39</v>
      </c>
      <c r="D30" s="18" t="s">
        <v>507</v>
      </c>
      <c r="E30" s="20">
        <f>+G30+P30</f>
        <v>1245</v>
      </c>
      <c r="F30" s="20">
        <f t="shared" si="4"/>
        <v>1245</v>
      </c>
      <c r="G30" s="20">
        <f>1238.6+6.4</f>
        <v>1245</v>
      </c>
      <c r="H30" s="20">
        <v>1245</v>
      </c>
      <c r="I30" s="20">
        <f>1185.2+6.5+3</f>
        <v>1194.7</v>
      </c>
      <c r="J30" s="32">
        <v>1194.7</v>
      </c>
      <c r="K30" s="20"/>
      <c r="L30" s="22">
        <f t="shared" si="3"/>
        <v>0</v>
      </c>
      <c r="M30" s="22"/>
      <c r="N30" s="22">
        <v>3</v>
      </c>
      <c r="O30" s="22"/>
      <c r="P30" s="107"/>
    </row>
    <row r="31" spans="1:20" ht="12.6" customHeight="1" x14ac:dyDescent="0.2">
      <c r="A31" s="13">
        <v>19</v>
      </c>
      <c r="B31" s="26"/>
      <c r="C31" s="109" t="s">
        <v>40</v>
      </c>
      <c r="D31" s="38" t="s">
        <v>507</v>
      </c>
      <c r="E31" s="20">
        <f t="shared" si="5"/>
        <v>792.3</v>
      </c>
      <c r="F31" s="20">
        <f t="shared" si="4"/>
        <v>792.3</v>
      </c>
      <c r="G31" s="20">
        <f>794-1.7</f>
        <v>792.3</v>
      </c>
      <c r="H31" s="20">
        <v>792.3</v>
      </c>
      <c r="I31" s="20">
        <f>760.4-1.2+7.1</f>
        <v>766.3</v>
      </c>
      <c r="J31" s="32">
        <v>766.3</v>
      </c>
      <c r="K31" s="20"/>
      <c r="L31" s="22">
        <f t="shared" si="3"/>
        <v>0</v>
      </c>
      <c r="M31" s="22"/>
      <c r="N31" s="22">
        <v>7.1</v>
      </c>
      <c r="O31" s="22"/>
      <c r="P31" s="107"/>
    </row>
    <row r="32" spans="1:20" ht="12.6" customHeight="1" x14ac:dyDescent="0.2">
      <c r="A32" s="13">
        <v>20</v>
      </c>
      <c r="B32" s="16"/>
      <c r="C32" s="109" t="s">
        <v>41</v>
      </c>
      <c r="D32" s="16" t="s">
        <v>38</v>
      </c>
      <c r="E32" s="20">
        <f t="shared" si="5"/>
        <v>278.40000000000003</v>
      </c>
      <c r="F32" s="20">
        <f t="shared" si="4"/>
        <v>278.39999999999998</v>
      </c>
      <c r="G32" s="20">
        <f>263.3+15.1</f>
        <v>278.40000000000003</v>
      </c>
      <c r="H32" s="20">
        <v>278.39999999999998</v>
      </c>
      <c r="I32" s="20">
        <f>255.3+14.9</f>
        <v>270.2</v>
      </c>
      <c r="J32" s="32">
        <v>270.2</v>
      </c>
      <c r="K32" s="20"/>
      <c r="L32" s="22">
        <f t="shared" si="3"/>
        <v>0</v>
      </c>
      <c r="M32" s="22"/>
      <c r="N32" s="22"/>
      <c r="O32" s="22"/>
      <c r="P32" s="107"/>
    </row>
    <row r="33" spans="1:16" ht="12.6" customHeight="1" x14ac:dyDescent="0.2">
      <c r="A33" s="13">
        <v>21</v>
      </c>
      <c r="B33" s="26"/>
      <c r="C33" s="109" t="s">
        <v>42</v>
      </c>
      <c r="D33" s="26" t="s">
        <v>38</v>
      </c>
      <c r="E33" s="20">
        <f t="shared" si="5"/>
        <v>536.20000000000005</v>
      </c>
      <c r="F33" s="20">
        <f t="shared" si="4"/>
        <v>536.20000000000005</v>
      </c>
      <c r="G33" s="20">
        <f>520.2+16-10</f>
        <v>526.20000000000005</v>
      </c>
      <c r="H33" s="20">
        <v>526.20000000000005</v>
      </c>
      <c r="I33" s="20">
        <f>502+15.6-10</f>
        <v>507.6</v>
      </c>
      <c r="J33" s="32">
        <v>507.6</v>
      </c>
      <c r="K33" s="20">
        <v>10</v>
      </c>
      <c r="L33" s="22">
        <f t="shared" si="3"/>
        <v>0</v>
      </c>
      <c r="M33" s="22">
        <v>-10</v>
      </c>
      <c r="N33" s="22">
        <v>-10</v>
      </c>
      <c r="O33" s="22">
        <v>10</v>
      </c>
      <c r="P33" s="108">
        <v>10</v>
      </c>
    </row>
    <row r="34" spans="1:16" ht="12.6" customHeight="1" x14ac:dyDescent="0.2">
      <c r="A34" s="13">
        <v>22</v>
      </c>
      <c r="B34" s="16"/>
      <c r="C34" s="109" t="s">
        <v>509</v>
      </c>
      <c r="D34" s="16" t="s">
        <v>38</v>
      </c>
      <c r="E34" s="20">
        <f t="shared" si="5"/>
        <v>256</v>
      </c>
      <c r="F34" s="20">
        <f t="shared" si="4"/>
        <v>256</v>
      </c>
      <c r="G34" s="20">
        <f>250.8+5.2</f>
        <v>256</v>
      </c>
      <c r="H34" s="20">
        <v>256</v>
      </c>
      <c r="I34" s="20">
        <f>243.9+5.1-0.5</f>
        <v>248.5</v>
      </c>
      <c r="J34" s="32">
        <v>248.5</v>
      </c>
      <c r="K34" s="20"/>
      <c r="L34" s="22">
        <f t="shared" si="3"/>
        <v>0</v>
      </c>
      <c r="M34" s="22"/>
      <c r="N34" s="22">
        <v>-0.5</v>
      </c>
      <c r="O34" s="22"/>
      <c r="P34" s="107"/>
    </row>
    <row r="35" spans="1:16" ht="27" customHeight="1" x14ac:dyDescent="0.2">
      <c r="A35" s="13">
        <v>23</v>
      </c>
      <c r="B35" s="26"/>
      <c r="C35" s="109" t="s">
        <v>44</v>
      </c>
      <c r="D35" s="26" t="s">
        <v>38</v>
      </c>
      <c r="E35" s="20">
        <f t="shared" si="5"/>
        <v>262.7</v>
      </c>
      <c r="F35" s="20">
        <f t="shared" si="4"/>
        <v>262.7</v>
      </c>
      <c r="G35" s="20">
        <f>256+6.7</f>
        <v>262.7</v>
      </c>
      <c r="H35" s="20">
        <v>262.7</v>
      </c>
      <c r="I35" s="20">
        <f>247.9+6.7</f>
        <v>254.6</v>
      </c>
      <c r="J35" s="32">
        <v>254.5</v>
      </c>
      <c r="K35" s="20"/>
      <c r="L35" s="22">
        <f t="shared" si="3"/>
        <v>0</v>
      </c>
      <c r="M35" s="22"/>
      <c r="N35" s="22"/>
      <c r="O35" s="22"/>
      <c r="P35" s="107"/>
    </row>
    <row r="36" spans="1:16" ht="14.25" customHeight="1" x14ac:dyDescent="0.2">
      <c r="A36" s="13">
        <v>24</v>
      </c>
      <c r="B36" s="16"/>
      <c r="C36" s="109" t="s">
        <v>45</v>
      </c>
      <c r="D36" s="16" t="s">
        <v>38</v>
      </c>
      <c r="E36" s="20">
        <f t="shared" si="5"/>
        <v>248.79999999999998</v>
      </c>
      <c r="F36" s="20">
        <f t="shared" si="4"/>
        <v>248.8</v>
      </c>
      <c r="G36" s="20">
        <f>254.1-5.3</f>
        <v>248.79999999999998</v>
      </c>
      <c r="H36" s="20">
        <v>248.8</v>
      </c>
      <c r="I36" s="20">
        <f>246.6-5</f>
        <v>241.6</v>
      </c>
      <c r="J36" s="32">
        <v>241.6</v>
      </c>
      <c r="K36" s="20"/>
      <c r="L36" s="22">
        <f t="shared" si="3"/>
        <v>0</v>
      </c>
      <c r="M36" s="22"/>
      <c r="N36" s="22"/>
      <c r="O36" s="22"/>
      <c r="P36" s="107"/>
    </row>
    <row r="37" spans="1:16" ht="13.15" customHeight="1" x14ac:dyDescent="0.2">
      <c r="A37" s="13">
        <v>25</v>
      </c>
      <c r="B37" s="16"/>
      <c r="C37" s="109" t="s">
        <v>46</v>
      </c>
      <c r="D37" s="18" t="s">
        <v>696</v>
      </c>
      <c r="E37" s="20">
        <f t="shared" si="5"/>
        <v>339.7</v>
      </c>
      <c r="F37" s="20">
        <f t="shared" si="4"/>
        <v>339.7</v>
      </c>
      <c r="G37" s="20">
        <f>348.3-8.6</f>
        <v>339.7</v>
      </c>
      <c r="H37" s="20">
        <v>339.7</v>
      </c>
      <c r="I37" s="20">
        <f>335-8.1</f>
        <v>326.89999999999998</v>
      </c>
      <c r="J37" s="32">
        <v>326.89999999999998</v>
      </c>
      <c r="K37" s="20"/>
      <c r="L37" s="22">
        <f t="shared" si="3"/>
        <v>0</v>
      </c>
      <c r="M37" s="22"/>
      <c r="N37" s="22"/>
      <c r="O37" s="22"/>
      <c r="P37" s="107"/>
    </row>
    <row r="38" spans="1:16" ht="12.6" customHeight="1" x14ac:dyDescent="0.2">
      <c r="A38" s="13">
        <v>26</v>
      </c>
      <c r="B38" s="26"/>
      <c r="C38" s="104" t="s">
        <v>48</v>
      </c>
      <c r="D38" s="26" t="s">
        <v>38</v>
      </c>
      <c r="E38" s="20">
        <f t="shared" si="5"/>
        <v>491.2</v>
      </c>
      <c r="F38" s="20">
        <f t="shared" si="4"/>
        <v>491.2</v>
      </c>
      <c r="G38" s="20">
        <f>488.7+2.5</f>
        <v>491.2</v>
      </c>
      <c r="H38" s="20">
        <v>491.2</v>
      </c>
      <c r="I38" s="20">
        <f>477.8+2.6-20</f>
        <v>460.40000000000003</v>
      </c>
      <c r="J38" s="32">
        <v>460.4</v>
      </c>
      <c r="K38" s="20"/>
      <c r="L38" s="22">
        <f t="shared" si="3"/>
        <v>0</v>
      </c>
      <c r="M38" s="22"/>
      <c r="N38" s="22">
        <v>-20</v>
      </c>
      <c r="O38" s="22"/>
      <c r="P38" s="107"/>
    </row>
    <row r="39" spans="1:16" ht="12.6" customHeight="1" x14ac:dyDescent="0.2">
      <c r="A39" s="13">
        <v>27</v>
      </c>
      <c r="B39" s="16"/>
      <c r="C39" s="104" t="s">
        <v>49</v>
      </c>
      <c r="D39" s="16" t="s">
        <v>50</v>
      </c>
      <c r="E39" s="20">
        <f t="shared" si="5"/>
        <v>23</v>
      </c>
      <c r="F39" s="20">
        <f t="shared" si="4"/>
        <v>23</v>
      </c>
      <c r="G39" s="20">
        <f>23.3-0.3</f>
        <v>23</v>
      </c>
      <c r="H39" s="20">
        <v>23</v>
      </c>
      <c r="I39" s="20">
        <f>23-0.3</f>
        <v>22.7</v>
      </c>
      <c r="J39" s="32">
        <v>22.7</v>
      </c>
      <c r="K39" s="20"/>
      <c r="L39" s="22">
        <f t="shared" si="3"/>
        <v>0</v>
      </c>
      <c r="M39" s="22"/>
      <c r="N39" s="22"/>
      <c r="O39" s="22"/>
      <c r="P39" s="107"/>
    </row>
    <row r="40" spans="1:16" ht="12.6" customHeight="1" x14ac:dyDescent="0.2">
      <c r="A40" s="13">
        <v>28</v>
      </c>
      <c r="B40" s="16"/>
      <c r="C40" s="104" t="s">
        <v>53</v>
      </c>
      <c r="D40" s="16" t="s">
        <v>50</v>
      </c>
      <c r="E40" s="20">
        <f t="shared" si="5"/>
        <v>29.900000000000002</v>
      </c>
      <c r="F40" s="20">
        <f t="shared" si="4"/>
        <v>29.9</v>
      </c>
      <c r="G40" s="20">
        <f>30.3-0.4</f>
        <v>29.900000000000002</v>
      </c>
      <c r="H40" s="20">
        <v>29.9</v>
      </c>
      <c r="I40" s="20">
        <f>29.9-0.4</f>
        <v>29.5</v>
      </c>
      <c r="J40" s="32">
        <v>29.5</v>
      </c>
      <c r="K40" s="20"/>
      <c r="L40" s="22">
        <f t="shared" si="3"/>
        <v>0</v>
      </c>
      <c r="M40" s="22"/>
      <c r="N40" s="22"/>
      <c r="O40" s="22"/>
      <c r="P40" s="107"/>
    </row>
    <row r="41" spans="1:16" ht="12.6" customHeight="1" x14ac:dyDescent="0.2">
      <c r="A41" s="13">
        <v>29</v>
      </c>
      <c r="B41" s="16"/>
      <c r="C41" s="104" t="s">
        <v>54</v>
      </c>
      <c r="D41" s="16" t="s">
        <v>50</v>
      </c>
      <c r="E41" s="20">
        <f t="shared" si="5"/>
        <v>43.4</v>
      </c>
      <c r="F41" s="20">
        <f t="shared" si="4"/>
        <v>43.4</v>
      </c>
      <c r="G41" s="20">
        <f>43.5-0.1</f>
        <v>43.4</v>
      </c>
      <c r="H41" s="20">
        <v>43.4</v>
      </c>
      <c r="I41" s="20">
        <f>42.9-0.1</f>
        <v>42.8</v>
      </c>
      <c r="J41" s="32">
        <v>42.8</v>
      </c>
      <c r="K41" s="20"/>
      <c r="L41" s="22">
        <f t="shared" si="3"/>
        <v>0</v>
      </c>
      <c r="M41" s="22"/>
      <c r="N41" s="22"/>
      <c r="O41" s="22"/>
      <c r="P41" s="107"/>
    </row>
    <row r="42" spans="1:16" ht="12.6" customHeight="1" x14ac:dyDescent="0.2">
      <c r="A42" s="13">
        <v>30</v>
      </c>
      <c r="B42" s="16"/>
      <c r="C42" s="104" t="s">
        <v>697</v>
      </c>
      <c r="D42" s="16" t="s">
        <v>511</v>
      </c>
      <c r="E42" s="20">
        <f t="shared" si="5"/>
        <v>158.9</v>
      </c>
      <c r="F42" s="20">
        <f t="shared" si="4"/>
        <v>158.6</v>
      </c>
      <c r="G42" s="20">
        <f>+G43+G44+G45+G46</f>
        <v>158.9</v>
      </c>
      <c r="H42" s="20">
        <v>158.6</v>
      </c>
      <c r="I42" s="20">
        <f>+I43+I44+I45+I46</f>
        <v>155.4</v>
      </c>
      <c r="J42" s="32">
        <v>155.19999999999999</v>
      </c>
      <c r="K42" s="20">
        <f>+K43+K44+K45+K46</f>
        <v>0</v>
      </c>
      <c r="L42" s="22">
        <f t="shared" si="3"/>
        <v>0</v>
      </c>
      <c r="M42" s="22"/>
      <c r="N42" s="22"/>
      <c r="O42" s="22"/>
      <c r="P42" s="107"/>
    </row>
    <row r="43" spans="1:16" ht="24.95" customHeight="1" x14ac:dyDescent="0.2">
      <c r="A43" s="183" t="s">
        <v>698</v>
      </c>
      <c r="B43" s="184"/>
      <c r="C43" s="185" t="s">
        <v>699</v>
      </c>
      <c r="D43" s="16"/>
      <c r="E43" s="20">
        <f t="shared" si="5"/>
        <v>98.2</v>
      </c>
      <c r="F43" s="20">
        <f t="shared" si="4"/>
        <v>98.2</v>
      </c>
      <c r="G43" s="20">
        <f>99-0.8</f>
        <v>98.2</v>
      </c>
      <c r="H43" s="20">
        <v>98.2</v>
      </c>
      <c r="I43" s="20">
        <f>97.6-0.8-0.1</f>
        <v>96.7</v>
      </c>
      <c r="J43" s="32">
        <v>96.7</v>
      </c>
      <c r="K43" s="20"/>
      <c r="L43" s="22">
        <f t="shared" si="3"/>
        <v>0</v>
      </c>
      <c r="M43" s="22"/>
      <c r="N43" s="22">
        <v>-0.1</v>
      </c>
      <c r="O43" s="22"/>
      <c r="P43" s="107"/>
    </row>
    <row r="44" spans="1:16" ht="25.5" x14ac:dyDescent="0.2">
      <c r="A44" s="183" t="s">
        <v>700</v>
      </c>
      <c r="B44" s="184"/>
      <c r="C44" s="185" t="s">
        <v>701</v>
      </c>
      <c r="D44" s="16"/>
      <c r="E44" s="20">
        <f t="shared" si="5"/>
        <v>11.4</v>
      </c>
      <c r="F44" s="20">
        <f t="shared" si="4"/>
        <v>11.2</v>
      </c>
      <c r="G44" s="20">
        <f>9.4+2</f>
        <v>11.4</v>
      </c>
      <c r="H44" s="20">
        <v>11.2</v>
      </c>
      <c r="I44" s="20">
        <f>9.3+1.9</f>
        <v>11.200000000000001</v>
      </c>
      <c r="J44" s="32">
        <v>11</v>
      </c>
      <c r="K44" s="20"/>
      <c r="L44" s="22">
        <f t="shared" si="3"/>
        <v>0</v>
      </c>
      <c r="M44" s="22"/>
      <c r="N44" s="22"/>
      <c r="O44" s="22"/>
      <c r="P44" s="107"/>
    </row>
    <row r="45" spans="1:16" x14ac:dyDescent="0.2">
      <c r="A45" s="183" t="s">
        <v>702</v>
      </c>
      <c r="B45" s="184"/>
      <c r="C45" s="185" t="s">
        <v>703</v>
      </c>
      <c r="D45" s="16"/>
      <c r="E45" s="20">
        <f t="shared" si="5"/>
        <v>38.299999999999997</v>
      </c>
      <c r="F45" s="20">
        <f t="shared" si="4"/>
        <v>38.299999999999997</v>
      </c>
      <c r="G45" s="20">
        <f>32.3+6</f>
        <v>38.299999999999997</v>
      </c>
      <c r="H45" s="20">
        <v>38.299999999999997</v>
      </c>
      <c r="I45" s="20">
        <f>31.1+5.7</f>
        <v>36.800000000000004</v>
      </c>
      <c r="J45" s="32">
        <v>36.799999999999997</v>
      </c>
      <c r="K45" s="20"/>
      <c r="L45" s="22">
        <f t="shared" si="3"/>
        <v>0</v>
      </c>
      <c r="M45" s="22"/>
      <c r="N45" s="22"/>
      <c r="O45" s="22"/>
      <c r="P45" s="107"/>
    </row>
    <row r="46" spans="1:16" x14ac:dyDescent="0.2">
      <c r="A46" s="183" t="s">
        <v>704</v>
      </c>
      <c r="B46" s="184"/>
      <c r="C46" s="185" t="s">
        <v>705</v>
      </c>
      <c r="D46" s="16"/>
      <c r="E46" s="20">
        <f t="shared" si="5"/>
        <v>11</v>
      </c>
      <c r="F46" s="20">
        <f t="shared" si="4"/>
        <v>11</v>
      </c>
      <c r="G46" s="20">
        <f>7.6+3.4</f>
        <v>11</v>
      </c>
      <c r="H46" s="20">
        <v>11</v>
      </c>
      <c r="I46" s="20">
        <f>7.4+3.3</f>
        <v>10.7</v>
      </c>
      <c r="J46" s="32">
        <v>10.7</v>
      </c>
      <c r="K46" s="20"/>
      <c r="L46" s="22">
        <f t="shared" si="3"/>
        <v>0</v>
      </c>
      <c r="M46" s="22"/>
      <c r="N46" s="22"/>
      <c r="O46" s="22"/>
      <c r="P46" s="107"/>
    </row>
    <row r="47" spans="1:16" ht="12.6" customHeight="1" x14ac:dyDescent="0.2">
      <c r="A47" s="13">
        <v>31</v>
      </c>
      <c r="B47" s="16"/>
      <c r="C47" s="186" t="s">
        <v>57</v>
      </c>
      <c r="D47" s="16" t="s">
        <v>21</v>
      </c>
      <c r="E47" s="20">
        <f t="shared" si="5"/>
        <v>78.7</v>
      </c>
      <c r="F47" s="20">
        <f t="shared" si="4"/>
        <v>78.7</v>
      </c>
      <c r="G47" s="20">
        <f>83.7-5</f>
        <v>78.7</v>
      </c>
      <c r="H47" s="20">
        <v>78.7</v>
      </c>
      <c r="I47" s="20">
        <f>80-4.9</f>
        <v>75.099999999999994</v>
      </c>
      <c r="J47" s="32">
        <v>75.099999999999994</v>
      </c>
      <c r="K47" s="20"/>
      <c r="L47" s="22">
        <f t="shared" si="3"/>
        <v>0</v>
      </c>
      <c r="M47" s="22"/>
      <c r="N47" s="22"/>
      <c r="O47" s="22"/>
      <c r="P47" s="107"/>
    </row>
    <row r="48" spans="1:16" ht="12.6" customHeight="1" x14ac:dyDescent="0.2">
      <c r="A48" s="13">
        <v>32</v>
      </c>
      <c r="B48" s="16"/>
      <c r="C48" s="186" t="s">
        <v>706</v>
      </c>
      <c r="D48" s="16" t="s">
        <v>21</v>
      </c>
      <c r="E48" s="20">
        <f t="shared" si="5"/>
        <v>52.9</v>
      </c>
      <c r="F48" s="20">
        <f t="shared" si="4"/>
        <v>52.9</v>
      </c>
      <c r="G48" s="20">
        <f>53-0.1</f>
        <v>52.9</v>
      </c>
      <c r="H48" s="20">
        <v>52.9</v>
      </c>
      <c r="I48" s="20">
        <f>50.6-0.1</f>
        <v>50.5</v>
      </c>
      <c r="J48" s="32">
        <v>50.5</v>
      </c>
      <c r="K48" s="20"/>
      <c r="L48" s="22">
        <f t="shared" si="3"/>
        <v>0</v>
      </c>
      <c r="M48" s="22"/>
      <c r="N48" s="22"/>
      <c r="O48" s="22"/>
      <c r="P48" s="107"/>
    </row>
    <row r="49" spans="1:16" ht="12.75" customHeight="1" x14ac:dyDescent="0.2">
      <c r="A49" s="13">
        <v>33</v>
      </c>
      <c r="B49" s="11"/>
      <c r="C49" s="131" t="s">
        <v>491</v>
      </c>
      <c r="D49" s="16"/>
      <c r="E49" s="58">
        <f t="shared" si="5"/>
        <v>11597.4</v>
      </c>
      <c r="F49" s="58">
        <f t="shared" si="4"/>
        <v>11597.1</v>
      </c>
      <c r="G49" s="58">
        <f t="shared" ref="G49:P49" si="6">+G13</f>
        <v>11566.4</v>
      </c>
      <c r="H49" s="58">
        <f t="shared" si="6"/>
        <v>11566.1</v>
      </c>
      <c r="I49" s="58">
        <f t="shared" si="6"/>
        <v>11129.300000000001</v>
      </c>
      <c r="J49" s="187">
        <f t="shared" si="6"/>
        <v>11129.000000000002</v>
      </c>
      <c r="K49" s="52">
        <f t="shared" si="6"/>
        <v>31.000000000000004</v>
      </c>
      <c r="L49" s="52">
        <f t="shared" si="6"/>
        <v>0</v>
      </c>
      <c r="M49" s="52">
        <f t="shared" si="6"/>
        <v>-28.700000000000003</v>
      </c>
      <c r="N49" s="52">
        <f t="shared" si="6"/>
        <v>-24.6</v>
      </c>
      <c r="O49" s="52">
        <f t="shared" si="6"/>
        <v>28.700000000000003</v>
      </c>
      <c r="P49" s="52">
        <f t="shared" si="6"/>
        <v>31.000000000000004</v>
      </c>
    </row>
    <row r="50" spans="1:16" x14ac:dyDescent="0.2">
      <c r="C50" s="171" t="s">
        <v>707</v>
      </c>
      <c r="D50" s="5"/>
      <c r="E50" s="97"/>
      <c r="F50" s="97"/>
      <c r="G50" s="97"/>
      <c r="H50" s="97"/>
      <c r="I50" s="97"/>
      <c r="J50" s="188"/>
      <c r="K50" s="97"/>
    </row>
    <row r="51" spans="1:16" x14ac:dyDescent="0.2">
      <c r="E51" s="96"/>
      <c r="F51" s="96"/>
      <c r="G51" s="97"/>
      <c r="H51" s="97"/>
      <c r="I51" s="97"/>
      <c r="J51" s="188"/>
      <c r="K51" s="97"/>
    </row>
    <row r="52" spans="1:16" hidden="1" x14ac:dyDescent="0.2">
      <c r="E52" s="96">
        <f>+G52+K52</f>
        <v>11597.4</v>
      </c>
      <c r="F52" s="96"/>
      <c r="G52" s="96">
        <v>11595.1</v>
      </c>
      <c r="H52" s="96"/>
      <c r="I52" s="96">
        <v>11154</v>
      </c>
      <c r="J52" s="141"/>
      <c r="K52" s="96">
        <v>2.2999999999999998</v>
      </c>
    </row>
    <row r="53" spans="1:16" hidden="1" x14ac:dyDescent="0.2">
      <c r="E53" s="96">
        <f>+G53+K53</f>
        <v>-7.2475359047530219E-13</v>
      </c>
      <c r="F53" s="96"/>
      <c r="G53" s="96">
        <f>+G49-G52</f>
        <v>-28.700000000000728</v>
      </c>
      <c r="H53" s="96"/>
      <c r="I53" s="96">
        <f>+I49-I52</f>
        <v>-24.699999999998909</v>
      </c>
      <c r="J53" s="141"/>
      <c r="K53" s="96">
        <f>+K49-K52</f>
        <v>28.700000000000003</v>
      </c>
    </row>
    <row r="54" spans="1:16" x14ac:dyDescent="0.2">
      <c r="E54" s="189"/>
      <c r="F54" s="189"/>
      <c r="G54" s="96"/>
      <c r="H54" s="96"/>
      <c r="I54" s="96"/>
      <c r="J54" s="141"/>
      <c r="K54" s="96"/>
    </row>
    <row r="55" spans="1:16" x14ac:dyDescent="0.2">
      <c r="E55" s="96"/>
      <c r="F55" s="96"/>
      <c r="G55" s="96"/>
      <c r="H55" s="96"/>
      <c r="I55" s="96"/>
      <c r="J55" s="141"/>
      <c r="K55" s="96"/>
    </row>
    <row r="56" spans="1:16" x14ac:dyDescent="0.2">
      <c r="C56" s="4"/>
      <c r="E56" s="97"/>
      <c r="F56" s="97"/>
      <c r="G56" s="97"/>
      <c r="H56" s="97"/>
      <c r="I56" s="97"/>
      <c r="J56" s="188"/>
      <c r="K56" s="97"/>
    </row>
    <row r="57" spans="1:16" x14ac:dyDescent="0.2">
      <c r="E57" s="97"/>
      <c r="F57" s="97"/>
      <c r="G57" s="4"/>
      <c r="H57" s="4"/>
      <c r="I57" s="4"/>
      <c r="J57" s="190"/>
      <c r="K57" s="4"/>
    </row>
    <row r="58" spans="1:16" x14ac:dyDescent="0.2">
      <c r="E58" s="97"/>
      <c r="F58" s="97"/>
      <c r="G58" s="96"/>
      <c r="H58" s="96"/>
      <c r="I58" s="96"/>
      <c r="J58" s="141"/>
      <c r="K58" s="96"/>
    </row>
    <row r="59" spans="1:16" x14ac:dyDescent="0.2">
      <c r="E59" s="96"/>
      <c r="F59" s="96"/>
      <c r="G59" s="96"/>
      <c r="H59" s="96"/>
      <c r="I59" s="96"/>
      <c r="J59" s="141"/>
      <c r="K59" s="96"/>
    </row>
    <row r="60" spans="1:16" x14ac:dyDescent="0.2">
      <c r="E60" s="4"/>
      <c r="F60" s="4"/>
      <c r="G60" s="4"/>
      <c r="H60" s="4"/>
      <c r="I60" s="4"/>
      <c r="J60" s="190"/>
      <c r="K60" s="4"/>
    </row>
    <row r="61" spans="1:16" x14ac:dyDescent="0.2">
      <c r="E61" s="96"/>
      <c r="F61" s="96"/>
      <c r="G61" s="96"/>
      <c r="H61" s="96"/>
      <c r="I61" s="96"/>
      <c r="J61" s="141"/>
      <c r="K61" s="96"/>
    </row>
    <row r="62" spans="1:16" x14ac:dyDescent="0.2">
      <c r="E62" s="4"/>
      <c r="F62" s="4"/>
      <c r="G62" s="4"/>
      <c r="H62" s="4"/>
      <c r="I62" s="4"/>
      <c r="J62" s="190"/>
      <c r="K62" s="4"/>
    </row>
    <row r="63" spans="1:16" x14ac:dyDescent="0.2">
      <c r="E63" s="4"/>
      <c r="F63" s="4"/>
      <c r="G63" s="4"/>
      <c r="H63" s="4"/>
      <c r="I63" s="4"/>
      <c r="J63" s="190"/>
      <c r="K63" s="4"/>
    </row>
  </sheetData>
  <mergeCells count="20">
    <mergeCell ref="G10:H10"/>
    <mergeCell ref="I10:J10"/>
    <mergeCell ref="K10:K11"/>
    <mergeCell ref="P10:P11"/>
    <mergeCell ref="A8:A11"/>
    <mergeCell ref="B8:B11"/>
    <mergeCell ref="C8:C11"/>
    <mergeCell ref="D8:D11"/>
    <mergeCell ref="E8:F9"/>
    <mergeCell ref="G8:P8"/>
    <mergeCell ref="G9:J9"/>
    <mergeCell ref="K9:P9"/>
    <mergeCell ref="E10:E11"/>
    <mergeCell ref="F10:F11"/>
    <mergeCell ref="J7:P7"/>
    <mergeCell ref="E4:P4"/>
    <mergeCell ref="C2:P2"/>
    <mergeCell ref="C1:P1"/>
    <mergeCell ref="C3:K3"/>
    <mergeCell ref="A6:K6"/>
  </mergeCells>
  <pageMargins left="0.31496062992125984" right="0.31496062992125984" top="0.35433070866141736" bottom="0.35433070866141736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T50"/>
  <sheetViews>
    <sheetView workbookViewId="0">
      <selection activeCell="W17" sqref="W17"/>
    </sheetView>
  </sheetViews>
  <sheetFormatPr defaultColWidth="9.140625" defaultRowHeight="12.75" x14ac:dyDescent="0.2"/>
  <cols>
    <col min="1" max="1" width="4.7109375" style="4" customWidth="1"/>
    <col min="2" max="2" width="5.85546875" style="5" customWidth="1"/>
    <col min="3" max="3" width="44" style="171" customWidth="1"/>
    <col min="4" max="4" width="9.85546875" style="2" customWidth="1"/>
    <col min="5" max="5" width="9.7109375" style="1" customWidth="1"/>
    <col min="6" max="6" width="9.42578125" style="1" customWidth="1"/>
    <col min="7" max="7" width="8.28515625" style="1" customWidth="1"/>
    <col min="8" max="8" width="9.42578125" style="1" customWidth="1"/>
    <col min="9" max="10" width="9" style="1" customWidth="1"/>
    <col min="11" max="11" width="7.5703125" style="1" customWidth="1"/>
    <col min="12" max="12" width="9.140625" style="3" hidden="1" customWidth="1"/>
    <col min="13" max="13" width="8" style="3" hidden="1" customWidth="1"/>
    <col min="14" max="14" width="3.5703125" style="3" hidden="1" customWidth="1"/>
    <col min="15" max="15" width="14.85546875" style="3" hidden="1" customWidth="1"/>
    <col min="16" max="16" width="14.28515625" style="3" hidden="1" customWidth="1"/>
    <col min="17" max="17" width="14" style="3" hidden="1" customWidth="1"/>
    <col min="18" max="18" width="12.28515625" style="3" hidden="1" customWidth="1"/>
    <col min="19" max="19" width="16.28515625" style="3" hidden="1" customWidth="1"/>
    <col min="20" max="20" width="8.28515625" style="3" customWidth="1"/>
    <col min="21" max="256" width="9.140625" style="3"/>
    <col min="257" max="257" width="4.7109375" style="3" customWidth="1"/>
    <col min="258" max="258" width="6.7109375" style="3" customWidth="1"/>
    <col min="259" max="259" width="41.42578125" style="3" customWidth="1"/>
    <col min="260" max="260" width="9.85546875" style="3" customWidth="1"/>
    <col min="261" max="261" width="9.7109375" style="3" customWidth="1"/>
    <col min="262" max="262" width="9.42578125" style="3" customWidth="1"/>
    <col min="263" max="263" width="8.28515625" style="3" customWidth="1"/>
    <col min="264" max="264" width="9.42578125" style="3" customWidth="1"/>
    <col min="265" max="266" width="9" style="3" customWidth="1"/>
    <col min="267" max="267" width="7.5703125" style="3" customWidth="1"/>
    <col min="268" max="275" width="0" style="3" hidden="1" customWidth="1"/>
    <col min="276" max="276" width="8.28515625" style="3" customWidth="1"/>
    <col min="277" max="512" width="9.140625" style="3"/>
    <col min="513" max="513" width="4.7109375" style="3" customWidth="1"/>
    <col min="514" max="514" width="6.7109375" style="3" customWidth="1"/>
    <col min="515" max="515" width="41.42578125" style="3" customWidth="1"/>
    <col min="516" max="516" width="9.85546875" style="3" customWidth="1"/>
    <col min="517" max="517" width="9.7109375" style="3" customWidth="1"/>
    <col min="518" max="518" width="9.42578125" style="3" customWidth="1"/>
    <col min="519" max="519" width="8.28515625" style="3" customWidth="1"/>
    <col min="520" max="520" width="9.42578125" style="3" customWidth="1"/>
    <col min="521" max="522" width="9" style="3" customWidth="1"/>
    <col min="523" max="523" width="7.5703125" style="3" customWidth="1"/>
    <col min="524" max="531" width="0" style="3" hidden="1" customWidth="1"/>
    <col min="532" max="532" width="8.28515625" style="3" customWidth="1"/>
    <col min="533" max="768" width="9.140625" style="3"/>
    <col min="769" max="769" width="4.7109375" style="3" customWidth="1"/>
    <col min="770" max="770" width="6.7109375" style="3" customWidth="1"/>
    <col min="771" max="771" width="41.42578125" style="3" customWidth="1"/>
    <col min="772" max="772" width="9.85546875" style="3" customWidth="1"/>
    <col min="773" max="773" width="9.7109375" style="3" customWidth="1"/>
    <col min="774" max="774" width="9.42578125" style="3" customWidth="1"/>
    <col min="775" max="775" width="8.28515625" style="3" customWidth="1"/>
    <col min="776" max="776" width="9.42578125" style="3" customWidth="1"/>
    <col min="777" max="778" width="9" style="3" customWidth="1"/>
    <col min="779" max="779" width="7.5703125" style="3" customWidth="1"/>
    <col min="780" max="787" width="0" style="3" hidden="1" customWidth="1"/>
    <col min="788" max="788" width="8.28515625" style="3" customWidth="1"/>
    <col min="789" max="1024" width="9.140625" style="3"/>
    <col min="1025" max="1025" width="4.7109375" style="3" customWidth="1"/>
    <col min="1026" max="1026" width="6.7109375" style="3" customWidth="1"/>
    <col min="1027" max="1027" width="41.42578125" style="3" customWidth="1"/>
    <col min="1028" max="1028" width="9.85546875" style="3" customWidth="1"/>
    <col min="1029" max="1029" width="9.7109375" style="3" customWidth="1"/>
    <col min="1030" max="1030" width="9.42578125" style="3" customWidth="1"/>
    <col min="1031" max="1031" width="8.28515625" style="3" customWidth="1"/>
    <col min="1032" max="1032" width="9.42578125" style="3" customWidth="1"/>
    <col min="1033" max="1034" width="9" style="3" customWidth="1"/>
    <col min="1035" max="1035" width="7.5703125" style="3" customWidth="1"/>
    <col min="1036" max="1043" width="0" style="3" hidden="1" customWidth="1"/>
    <col min="1044" max="1044" width="8.28515625" style="3" customWidth="1"/>
    <col min="1045" max="1280" width="9.140625" style="3"/>
    <col min="1281" max="1281" width="4.7109375" style="3" customWidth="1"/>
    <col min="1282" max="1282" width="6.7109375" style="3" customWidth="1"/>
    <col min="1283" max="1283" width="41.42578125" style="3" customWidth="1"/>
    <col min="1284" max="1284" width="9.85546875" style="3" customWidth="1"/>
    <col min="1285" max="1285" width="9.7109375" style="3" customWidth="1"/>
    <col min="1286" max="1286" width="9.42578125" style="3" customWidth="1"/>
    <col min="1287" max="1287" width="8.28515625" style="3" customWidth="1"/>
    <col min="1288" max="1288" width="9.42578125" style="3" customWidth="1"/>
    <col min="1289" max="1290" width="9" style="3" customWidth="1"/>
    <col min="1291" max="1291" width="7.5703125" style="3" customWidth="1"/>
    <col min="1292" max="1299" width="0" style="3" hidden="1" customWidth="1"/>
    <col min="1300" max="1300" width="8.28515625" style="3" customWidth="1"/>
    <col min="1301" max="1536" width="9.140625" style="3"/>
    <col min="1537" max="1537" width="4.7109375" style="3" customWidth="1"/>
    <col min="1538" max="1538" width="6.7109375" style="3" customWidth="1"/>
    <col min="1539" max="1539" width="41.42578125" style="3" customWidth="1"/>
    <col min="1540" max="1540" width="9.85546875" style="3" customWidth="1"/>
    <col min="1541" max="1541" width="9.7109375" style="3" customWidth="1"/>
    <col min="1542" max="1542" width="9.42578125" style="3" customWidth="1"/>
    <col min="1543" max="1543" width="8.28515625" style="3" customWidth="1"/>
    <col min="1544" max="1544" width="9.42578125" style="3" customWidth="1"/>
    <col min="1545" max="1546" width="9" style="3" customWidth="1"/>
    <col min="1547" max="1547" width="7.5703125" style="3" customWidth="1"/>
    <col min="1548" max="1555" width="0" style="3" hidden="1" customWidth="1"/>
    <col min="1556" max="1556" width="8.28515625" style="3" customWidth="1"/>
    <col min="1557" max="1792" width="9.140625" style="3"/>
    <col min="1793" max="1793" width="4.7109375" style="3" customWidth="1"/>
    <col min="1794" max="1794" width="6.7109375" style="3" customWidth="1"/>
    <col min="1795" max="1795" width="41.42578125" style="3" customWidth="1"/>
    <col min="1796" max="1796" width="9.85546875" style="3" customWidth="1"/>
    <col min="1797" max="1797" width="9.7109375" style="3" customWidth="1"/>
    <col min="1798" max="1798" width="9.42578125" style="3" customWidth="1"/>
    <col min="1799" max="1799" width="8.28515625" style="3" customWidth="1"/>
    <col min="1800" max="1800" width="9.42578125" style="3" customWidth="1"/>
    <col min="1801" max="1802" width="9" style="3" customWidth="1"/>
    <col min="1803" max="1803" width="7.5703125" style="3" customWidth="1"/>
    <col min="1804" max="1811" width="0" style="3" hidden="1" customWidth="1"/>
    <col min="1812" max="1812" width="8.28515625" style="3" customWidth="1"/>
    <col min="1813" max="2048" width="9.140625" style="3"/>
    <col min="2049" max="2049" width="4.7109375" style="3" customWidth="1"/>
    <col min="2050" max="2050" width="6.7109375" style="3" customWidth="1"/>
    <col min="2051" max="2051" width="41.42578125" style="3" customWidth="1"/>
    <col min="2052" max="2052" width="9.85546875" style="3" customWidth="1"/>
    <col min="2053" max="2053" width="9.7109375" style="3" customWidth="1"/>
    <col min="2054" max="2054" width="9.42578125" style="3" customWidth="1"/>
    <col min="2055" max="2055" width="8.28515625" style="3" customWidth="1"/>
    <col min="2056" max="2056" width="9.42578125" style="3" customWidth="1"/>
    <col min="2057" max="2058" width="9" style="3" customWidth="1"/>
    <col min="2059" max="2059" width="7.5703125" style="3" customWidth="1"/>
    <col min="2060" max="2067" width="0" style="3" hidden="1" customWidth="1"/>
    <col min="2068" max="2068" width="8.28515625" style="3" customWidth="1"/>
    <col min="2069" max="2304" width="9.140625" style="3"/>
    <col min="2305" max="2305" width="4.7109375" style="3" customWidth="1"/>
    <col min="2306" max="2306" width="6.7109375" style="3" customWidth="1"/>
    <col min="2307" max="2307" width="41.42578125" style="3" customWidth="1"/>
    <col min="2308" max="2308" width="9.85546875" style="3" customWidth="1"/>
    <col min="2309" max="2309" width="9.7109375" style="3" customWidth="1"/>
    <col min="2310" max="2310" width="9.42578125" style="3" customWidth="1"/>
    <col min="2311" max="2311" width="8.28515625" style="3" customWidth="1"/>
    <col min="2312" max="2312" width="9.42578125" style="3" customWidth="1"/>
    <col min="2313" max="2314" width="9" style="3" customWidth="1"/>
    <col min="2315" max="2315" width="7.5703125" style="3" customWidth="1"/>
    <col min="2316" max="2323" width="0" style="3" hidden="1" customWidth="1"/>
    <col min="2324" max="2324" width="8.28515625" style="3" customWidth="1"/>
    <col min="2325" max="2560" width="9.140625" style="3"/>
    <col min="2561" max="2561" width="4.7109375" style="3" customWidth="1"/>
    <col min="2562" max="2562" width="6.7109375" style="3" customWidth="1"/>
    <col min="2563" max="2563" width="41.42578125" style="3" customWidth="1"/>
    <col min="2564" max="2564" width="9.85546875" style="3" customWidth="1"/>
    <col min="2565" max="2565" width="9.7109375" style="3" customWidth="1"/>
    <col min="2566" max="2566" width="9.42578125" style="3" customWidth="1"/>
    <col min="2567" max="2567" width="8.28515625" style="3" customWidth="1"/>
    <col min="2568" max="2568" width="9.42578125" style="3" customWidth="1"/>
    <col min="2569" max="2570" width="9" style="3" customWidth="1"/>
    <col min="2571" max="2571" width="7.5703125" style="3" customWidth="1"/>
    <col min="2572" max="2579" width="0" style="3" hidden="1" customWidth="1"/>
    <col min="2580" max="2580" width="8.28515625" style="3" customWidth="1"/>
    <col min="2581" max="2816" width="9.140625" style="3"/>
    <col min="2817" max="2817" width="4.7109375" style="3" customWidth="1"/>
    <col min="2818" max="2818" width="6.7109375" style="3" customWidth="1"/>
    <col min="2819" max="2819" width="41.42578125" style="3" customWidth="1"/>
    <col min="2820" max="2820" width="9.85546875" style="3" customWidth="1"/>
    <col min="2821" max="2821" width="9.7109375" style="3" customWidth="1"/>
    <col min="2822" max="2822" width="9.42578125" style="3" customWidth="1"/>
    <col min="2823" max="2823" width="8.28515625" style="3" customWidth="1"/>
    <col min="2824" max="2824" width="9.42578125" style="3" customWidth="1"/>
    <col min="2825" max="2826" width="9" style="3" customWidth="1"/>
    <col min="2827" max="2827" width="7.5703125" style="3" customWidth="1"/>
    <col min="2828" max="2835" width="0" style="3" hidden="1" customWidth="1"/>
    <col min="2836" max="2836" width="8.28515625" style="3" customWidth="1"/>
    <col min="2837" max="3072" width="9.140625" style="3"/>
    <col min="3073" max="3073" width="4.7109375" style="3" customWidth="1"/>
    <col min="3074" max="3074" width="6.7109375" style="3" customWidth="1"/>
    <col min="3075" max="3075" width="41.42578125" style="3" customWidth="1"/>
    <col min="3076" max="3076" width="9.85546875" style="3" customWidth="1"/>
    <col min="3077" max="3077" width="9.7109375" style="3" customWidth="1"/>
    <col min="3078" max="3078" width="9.42578125" style="3" customWidth="1"/>
    <col min="3079" max="3079" width="8.28515625" style="3" customWidth="1"/>
    <col min="3080" max="3080" width="9.42578125" style="3" customWidth="1"/>
    <col min="3081" max="3082" width="9" style="3" customWidth="1"/>
    <col min="3083" max="3083" width="7.5703125" style="3" customWidth="1"/>
    <col min="3084" max="3091" width="0" style="3" hidden="1" customWidth="1"/>
    <col min="3092" max="3092" width="8.28515625" style="3" customWidth="1"/>
    <col min="3093" max="3328" width="9.140625" style="3"/>
    <col min="3329" max="3329" width="4.7109375" style="3" customWidth="1"/>
    <col min="3330" max="3330" width="6.7109375" style="3" customWidth="1"/>
    <col min="3331" max="3331" width="41.42578125" style="3" customWidth="1"/>
    <col min="3332" max="3332" width="9.85546875" style="3" customWidth="1"/>
    <col min="3333" max="3333" width="9.7109375" style="3" customWidth="1"/>
    <col min="3334" max="3334" width="9.42578125" style="3" customWidth="1"/>
    <col min="3335" max="3335" width="8.28515625" style="3" customWidth="1"/>
    <col min="3336" max="3336" width="9.42578125" style="3" customWidth="1"/>
    <col min="3337" max="3338" width="9" style="3" customWidth="1"/>
    <col min="3339" max="3339" width="7.5703125" style="3" customWidth="1"/>
    <col min="3340" max="3347" width="0" style="3" hidden="1" customWidth="1"/>
    <col min="3348" max="3348" width="8.28515625" style="3" customWidth="1"/>
    <col min="3349" max="3584" width="9.140625" style="3"/>
    <col min="3585" max="3585" width="4.7109375" style="3" customWidth="1"/>
    <col min="3586" max="3586" width="6.7109375" style="3" customWidth="1"/>
    <col min="3587" max="3587" width="41.42578125" style="3" customWidth="1"/>
    <col min="3588" max="3588" width="9.85546875" style="3" customWidth="1"/>
    <col min="3589" max="3589" width="9.7109375" style="3" customWidth="1"/>
    <col min="3590" max="3590" width="9.42578125" style="3" customWidth="1"/>
    <col min="3591" max="3591" width="8.28515625" style="3" customWidth="1"/>
    <col min="3592" max="3592" width="9.42578125" style="3" customWidth="1"/>
    <col min="3593" max="3594" width="9" style="3" customWidth="1"/>
    <col min="3595" max="3595" width="7.5703125" style="3" customWidth="1"/>
    <col min="3596" max="3603" width="0" style="3" hidden="1" customWidth="1"/>
    <col min="3604" max="3604" width="8.28515625" style="3" customWidth="1"/>
    <col min="3605" max="3840" width="9.140625" style="3"/>
    <col min="3841" max="3841" width="4.7109375" style="3" customWidth="1"/>
    <col min="3842" max="3842" width="6.7109375" style="3" customWidth="1"/>
    <col min="3843" max="3843" width="41.42578125" style="3" customWidth="1"/>
    <col min="3844" max="3844" width="9.85546875" style="3" customWidth="1"/>
    <col min="3845" max="3845" width="9.7109375" style="3" customWidth="1"/>
    <col min="3846" max="3846" width="9.42578125" style="3" customWidth="1"/>
    <col min="3847" max="3847" width="8.28515625" style="3" customWidth="1"/>
    <col min="3848" max="3848" width="9.42578125" style="3" customWidth="1"/>
    <col min="3849" max="3850" width="9" style="3" customWidth="1"/>
    <col min="3851" max="3851" width="7.5703125" style="3" customWidth="1"/>
    <col min="3852" max="3859" width="0" style="3" hidden="1" customWidth="1"/>
    <col min="3860" max="3860" width="8.28515625" style="3" customWidth="1"/>
    <col min="3861" max="4096" width="9.140625" style="3"/>
    <col min="4097" max="4097" width="4.7109375" style="3" customWidth="1"/>
    <col min="4098" max="4098" width="6.7109375" style="3" customWidth="1"/>
    <col min="4099" max="4099" width="41.42578125" style="3" customWidth="1"/>
    <col min="4100" max="4100" width="9.85546875" style="3" customWidth="1"/>
    <col min="4101" max="4101" width="9.7109375" style="3" customWidth="1"/>
    <col min="4102" max="4102" width="9.42578125" style="3" customWidth="1"/>
    <col min="4103" max="4103" width="8.28515625" style="3" customWidth="1"/>
    <col min="4104" max="4104" width="9.42578125" style="3" customWidth="1"/>
    <col min="4105" max="4106" width="9" style="3" customWidth="1"/>
    <col min="4107" max="4107" width="7.5703125" style="3" customWidth="1"/>
    <col min="4108" max="4115" width="0" style="3" hidden="1" customWidth="1"/>
    <col min="4116" max="4116" width="8.28515625" style="3" customWidth="1"/>
    <col min="4117" max="4352" width="9.140625" style="3"/>
    <col min="4353" max="4353" width="4.7109375" style="3" customWidth="1"/>
    <col min="4354" max="4354" width="6.7109375" style="3" customWidth="1"/>
    <col min="4355" max="4355" width="41.42578125" style="3" customWidth="1"/>
    <col min="4356" max="4356" width="9.85546875" style="3" customWidth="1"/>
    <col min="4357" max="4357" width="9.7109375" style="3" customWidth="1"/>
    <col min="4358" max="4358" width="9.42578125" style="3" customWidth="1"/>
    <col min="4359" max="4359" width="8.28515625" style="3" customWidth="1"/>
    <col min="4360" max="4360" width="9.42578125" style="3" customWidth="1"/>
    <col min="4361" max="4362" width="9" style="3" customWidth="1"/>
    <col min="4363" max="4363" width="7.5703125" style="3" customWidth="1"/>
    <col min="4364" max="4371" width="0" style="3" hidden="1" customWidth="1"/>
    <col min="4372" max="4372" width="8.28515625" style="3" customWidth="1"/>
    <col min="4373" max="4608" width="9.140625" style="3"/>
    <col min="4609" max="4609" width="4.7109375" style="3" customWidth="1"/>
    <col min="4610" max="4610" width="6.7109375" style="3" customWidth="1"/>
    <col min="4611" max="4611" width="41.42578125" style="3" customWidth="1"/>
    <col min="4612" max="4612" width="9.85546875" style="3" customWidth="1"/>
    <col min="4613" max="4613" width="9.7109375" style="3" customWidth="1"/>
    <col min="4614" max="4614" width="9.42578125" style="3" customWidth="1"/>
    <col min="4615" max="4615" width="8.28515625" style="3" customWidth="1"/>
    <col min="4616" max="4616" width="9.42578125" style="3" customWidth="1"/>
    <col min="4617" max="4618" width="9" style="3" customWidth="1"/>
    <col min="4619" max="4619" width="7.5703125" style="3" customWidth="1"/>
    <col min="4620" max="4627" width="0" style="3" hidden="1" customWidth="1"/>
    <col min="4628" max="4628" width="8.28515625" style="3" customWidth="1"/>
    <col min="4629" max="4864" width="9.140625" style="3"/>
    <col min="4865" max="4865" width="4.7109375" style="3" customWidth="1"/>
    <col min="4866" max="4866" width="6.7109375" style="3" customWidth="1"/>
    <col min="4867" max="4867" width="41.42578125" style="3" customWidth="1"/>
    <col min="4868" max="4868" width="9.85546875" style="3" customWidth="1"/>
    <col min="4869" max="4869" width="9.7109375" style="3" customWidth="1"/>
    <col min="4870" max="4870" width="9.42578125" style="3" customWidth="1"/>
    <col min="4871" max="4871" width="8.28515625" style="3" customWidth="1"/>
    <col min="4872" max="4872" width="9.42578125" style="3" customWidth="1"/>
    <col min="4873" max="4874" width="9" style="3" customWidth="1"/>
    <col min="4875" max="4875" width="7.5703125" style="3" customWidth="1"/>
    <col min="4876" max="4883" width="0" style="3" hidden="1" customWidth="1"/>
    <col min="4884" max="4884" width="8.28515625" style="3" customWidth="1"/>
    <col min="4885" max="5120" width="9.140625" style="3"/>
    <col min="5121" max="5121" width="4.7109375" style="3" customWidth="1"/>
    <col min="5122" max="5122" width="6.7109375" style="3" customWidth="1"/>
    <col min="5123" max="5123" width="41.42578125" style="3" customWidth="1"/>
    <col min="5124" max="5124" width="9.85546875" style="3" customWidth="1"/>
    <col min="5125" max="5125" width="9.7109375" style="3" customWidth="1"/>
    <col min="5126" max="5126" width="9.42578125" style="3" customWidth="1"/>
    <col min="5127" max="5127" width="8.28515625" style="3" customWidth="1"/>
    <col min="5128" max="5128" width="9.42578125" style="3" customWidth="1"/>
    <col min="5129" max="5130" width="9" style="3" customWidth="1"/>
    <col min="5131" max="5131" width="7.5703125" style="3" customWidth="1"/>
    <col min="5132" max="5139" width="0" style="3" hidden="1" customWidth="1"/>
    <col min="5140" max="5140" width="8.28515625" style="3" customWidth="1"/>
    <col min="5141" max="5376" width="9.140625" style="3"/>
    <col min="5377" max="5377" width="4.7109375" style="3" customWidth="1"/>
    <col min="5378" max="5378" width="6.7109375" style="3" customWidth="1"/>
    <col min="5379" max="5379" width="41.42578125" style="3" customWidth="1"/>
    <col min="5380" max="5380" width="9.85546875" style="3" customWidth="1"/>
    <col min="5381" max="5381" width="9.7109375" style="3" customWidth="1"/>
    <col min="5382" max="5382" width="9.42578125" style="3" customWidth="1"/>
    <col min="5383" max="5383" width="8.28515625" style="3" customWidth="1"/>
    <col min="5384" max="5384" width="9.42578125" style="3" customWidth="1"/>
    <col min="5385" max="5386" width="9" style="3" customWidth="1"/>
    <col min="5387" max="5387" width="7.5703125" style="3" customWidth="1"/>
    <col min="5388" max="5395" width="0" style="3" hidden="1" customWidth="1"/>
    <col min="5396" max="5396" width="8.28515625" style="3" customWidth="1"/>
    <col min="5397" max="5632" width="9.140625" style="3"/>
    <col min="5633" max="5633" width="4.7109375" style="3" customWidth="1"/>
    <col min="5634" max="5634" width="6.7109375" style="3" customWidth="1"/>
    <col min="5635" max="5635" width="41.42578125" style="3" customWidth="1"/>
    <col min="5636" max="5636" width="9.85546875" style="3" customWidth="1"/>
    <col min="5637" max="5637" width="9.7109375" style="3" customWidth="1"/>
    <col min="5638" max="5638" width="9.42578125" style="3" customWidth="1"/>
    <col min="5639" max="5639" width="8.28515625" style="3" customWidth="1"/>
    <col min="5640" max="5640" width="9.42578125" style="3" customWidth="1"/>
    <col min="5641" max="5642" width="9" style="3" customWidth="1"/>
    <col min="5643" max="5643" width="7.5703125" style="3" customWidth="1"/>
    <col min="5644" max="5651" width="0" style="3" hidden="1" customWidth="1"/>
    <col min="5652" max="5652" width="8.28515625" style="3" customWidth="1"/>
    <col min="5653" max="5888" width="9.140625" style="3"/>
    <col min="5889" max="5889" width="4.7109375" style="3" customWidth="1"/>
    <col min="5890" max="5890" width="6.7109375" style="3" customWidth="1"/>
    <col min="5891" max="5891" width="41.42578125" style="3" customWidth="1"/>
    <col min="5892" max="5892" width="9.85546875" style="3" customWidth="1"/>
    <col min="5893" max="5893" width="9.7109375" style="3" customWidth="1"/>
    <col min="5894" max="5894" width="9.42578125" style="3" customWidth="1"/>
    <col min="5895" max="5895" width="8.28515625" style="3" customWidth="1"/>
    <col min="5896" max="5896" width="9.42578125" style="3" customWidth="1"/>
    <col min="5897" max="5898" width="9" style="3" customWidth="1"/>
    <col min="5899" max="5899" width="7.5703125" style="3" customWidth="1"/>
    <col min="5900" max="5907" width="0" style="3" hidden="1" customWidth="1"/>
    <col min="5908" max="5908" width="8.28515625" style="3" customWidth="1"/>
    <col min="5909" max="6144" width="9.140625" style="3"/>
    <col min="6145" max="6145" width="4.7109375" style="3" customWidth="1"/>
    <col min="6146" max="6146" width="6.7109375" style="3" customWidth="1"/>
    <col min="6147" max="6147" width="41.42578125" style="3" customWidth="1"/>
    <col min="6148" max="6148" width="9.85546875" style="3" customWidth="1"/>
    <col min="6149" max="6149" width="9.7109375" style="3" customWidth="1"/>
    <col min="6150" max="6150" width="9.42578125" style="3" customWidth="1"/>
    <col min="6151" max="6151" width="8.28515625" style="3" customWidth="1"/>
    <col min="6152" max="6152" width="9.42578125" style="3" customWidth="1"/>
    <col min="6153" max="6154" width="9" style="3" customWidth="1"/>
    <col min="6155" max="6155" width="7.5703125" style="3" customWidth="1"/>
    <col min="6156" max="6163" width="0" style="3" hidden="1" customWidth="1"/>
    <col min="6164" max="6164" width="8.28515625" style="3" customWidth="1"/>
    <col min="6165" max="6400" width="9.140625" style="3"/>
    <col min="6401" max="6401" width="4.7109375" style="3" customWidth="1"/>
    <col min="6402" max="6402" width="6.7109375" style="3" customWidth="1"/>
    <col min="6403" max="6403" width="41.42578125" style="3" customWidth="1"/>
    <col min="6404" max="6404" width="9.85546875" style="3" customWidth="1"/>
    <col min="6405" max="6405" width="9.7109375" style="3" customWidth="1"/>
    <col min="6406" max="6406" width="9.42578125" style="3" customWidth="1"/>
    <col min="6407" max="6407" width="8.28515625" style="3" customWidth="1"/>
    <col min="6408" max="6408" width="9.42578125" style="3" customWidth="1"/>
    <col min="6409" max="6410" width="9" style="3" customWidth="1"/>
    <col min="6411" max="6411" width="7.5703125" style="3" customWidth="1"/>
    <col min="6412" max="6419" width="0" style="3" hidden="1" customWidth="1"/>
    <col min="6420" max="6420" width="8.28515625" style="3" customWidth="1"/>
    <col min="6421" max="6656" width="9.140625" style="3"/>
    <col min="6657" max="6657" width="4.7109375" style="3" customWidth="1"/>
    <col min="6658" max="6658" width="6.7109375" style="3" customWidth="1"/>
    <col min="6659" max="6659" width="41.42578125" style="3" customWidth="1"/>
    <col min="6660" max="6660" width="9.85546875" style="3" customWidth="1"/>
    <col min="6661" max="6661" width="9.7109375" style="3" customWidth="1"/>
    <col min="6662" max="6662" width="9.42578125" style="3" customWidth="1"/>
    <col min="6663" max="6663" width="8.28515625" style="3" customWidth="1"/>
    <col min="6664" max="6664" width="9.42578125" style="3" customWidth="1"/>
    <col min="6665" max="6666" width="9" style="3" customWidth="1"/>
    <col min="6667" max="6667" width="7.5703125" style="3" customWidth="1"/>
    <col min="6668" max="6675" width="0" style="3" hidden="1" customWidth="1"/>
    <col min="6676" max="6676" width="8.28515625" style="3" customWidth="1"/>
    <col min="6677" max="6912" width="9.140625" style="3"/>
    <col min="6913" max="6913" width="4.7109375" style="3" customWidth="1"/>
    <col min="6914" max="6914" width="6.7109375" style="3" customWidth="1"/>
    <col min="6915" max="6915" width="41.42578125" style="3" customWidth="1"/>
    <col min="6916" max="6916" width="9.85546875" style="3" customWidth="1"/>
    <col min="6917" max="6917" width="9.7109375" style="3" customWidth="1"/>
    <col min="6918" max="6918" width="9.42578125" style="3" customWidth="1"/>
    <col min="6919" max="6919" width="8.28515625" style="3" customWidth="1"/>
    <col min="6920" max="6920" width="9.42578125" style="3" customWidth="1"/>
    <col min="6921" max="6922" width="9" style="3" customWidth="1"/>
    <col min="6923" max="6923" width="7.5703125" style="3" customWidth="1"/>
    <col min="6924" max="6931" width="0" style="3" hidden="1" customWidth="1"/>
    <col min="6932" max="6932" width="8.28515625" style="3" customWidth="1"/>
    <col min="6933" max="7168" width="9.140625" style="3"/>
    <col min="7169" max="7169" width="4.7109375" style="3" customWidth="1"/>
    <col min="7170" max="7170" width="6.7109375" style="3" customWidth="1"/>
    <col min="7171" max="7171" width="41.42578125" style="3" customWidth="1"/>
    <col min="7172" max="7172" width="9.85546875" style="3" customWidth="1"/>
    <col min="7173" max="7173" width="9.7109375" style="3" customWidth="1"/>
    <col min="7174" max="7174" width="9.42578125" style="3" customWidth="1"/>
    <col min="7175" max="7175" width="8.28515625" style="3" customWidth="1"/>
    <col min="7176" max="7176" width="9.42578125" style="3" customWidth="1"/>
    <col min="7177" max="7178" width="9" style="3" customWidth="1"/>
    <col min="7179" max="7179" width="7.5703125" style="3" customWidth="1"/>
    <col min="7180" max="7187" width="0" style="3" hidden="1" customWidth="1"/>
    <col min="7188" max="7188" width="8.28515625" style="3" customWidth="1"/>
    <col min="7189" max="7424" width="9.140625" style="3"/>
    <col min="7425" max="7425" width="4.7109375" style="3" customWidth="1"/>
    <col min="7426" max="7426" width="6.7109375" style="3" customWidth="1"/>
    <col min="7427" max="7427" width="41.42578125" style="3" customWidth="1"/>
    <col min="7428" max="7428" width="9.85546875" style="3" customWidth="1"/>
    <col min="7429" max="7429" width="9.7109375" style="3" customWidth="1"/>
    <col min="7430" max="7430" width="9.42578125" style="3" customWidth="1"/>
    <col min="7431" max="7431" width="8.28515625" style="3" customWidth="1"/>
    <col min="7432" max="7432" width="9.42578125" style="3" customWidth="1"/>
    <col min="7433" max="7434" width="9" style="3" customWidth="1"/>
    <col min="7435" max="7435" width="7.5703125" style="3" customWidth="1"/>
    <col min="7436" max="7443" width="0" style="3" hidden="1" customWidth="1"/>
    <col min="7444" max="7444" width="8.28515625" style="3" customWidth="1"/>
    <col min="7445" max="7680" width="9.140625" style="3"/>
    <col min="7681" max="7681" width="4.7109375" style="3" customWidth="1"/>
    <col min="7682" max="7682" width="6.7109375" style="3" customWidth="1"/>
    <col min="7683" max="7683" width="41.42578125" style="3" customWidth="1"/>
    <col min="7684" max="7684" width="9.85546875" style="3" customWidth="1"/>
    <col min="7685" max="7685" width="9.7109375" style="3" customWidth="1"/>
    <col min="7686" max="7686" width="9.42578125" style="3" customWidth="1"/>
    <col min="7687" max="7687" width="8.28515625" style="3" customWidth="1"/>
    <col min="7688" max="7688" width="9.42578125" style="3" customWidth="1"/>
    <col min="7689" max="7690" width="9" style="3" customWidth="1"/>
    <col min="7691" max="7691" width="7.5703125" style="3" customWidth="1"/>
    <col min="7692" max="7699" width="0" style="3" hidden="1" customWidth="1"/>
    <col min="7700" max="7700" width="8.28515625" style="3" customWidth="1"/>
    <col min="7701" max="7936" width="9.140625" style="3"/>
    <col min="7937" max="7937" width="4.7109375" style="3" customWidth="1"/>
    <col min="7938" max="7938" width="6.7109375" style="3" customWidth="1"/>
    <col min="7939" max="7939" width="41.42578125" style="3" customWidth="1"/>
    <col min="7940" max="7940" width="9.85546875" style="3" customWidth="1"/>
    <col min="7941" max="7941" width="9.7109375" style="3" customWidth="1"/>
    <col min="7942" max="7942" width="9.42578125" style="3" customWidth="1"/>
    <col min="7943" max="7943" width="8.28515625" style="3" customWidth="1"/>
    <col min="7944" max="7944" width="9.42578125" style="3" customWidth="1"/>
    <col min="7945" max="7946" width="9" style="3" customWidth="1"/>
    <col min="7947" max="7947" width="7.5703125" style="3" customWidth="1"/>
    <col min="7948" max="7955" width="0" style="3" hidden="1" customWidth="1"/>
    <col min="7956" max="7956" width="8.28515625" style="3" customWidth="1"/>
    <col min="7957" max="8192" width="9.140625" style="3"/>
    <col min="8193" max="8193" width="4.7109375" style="3" customWidth="1"/>
    <col min="8194" max="8194" width="6.7109375" style="3" customWidth="1"/>
    <col min="8195" max="8195" width="41.42578125" style="3" customWidth="1"/>
    <col min="8196" max="8196" width="9.85546875" style="3" customWidth="1"/>
    <col min="8197" max="8197" width="9.7109375" style="3" customWidth="1"/>
    <col min="8198" max="8198" width="9.42578125" style="3" customWidth="1"/>
    <col min="8199" max="8199" width="8.28515625" style="3" customWidth="1"/>
    <col min="8200" max="8200" width="9.42578125" style="3" customWidth="1"/>
    <col min="8201" max="8202" width="9" style="3" customWidth="1"/>
    <col min="8203" max="8203" width="7.5703125" style="3" customWidth="1"/>
    <col min="8204" max="8211" width="0" style="3" hidden="1" customWidth="1"/>
    <col min="8212" max="8212" width="8.28515625" style="3" customWidth="1"/>
    <col min="8213" max="8448" width="9.140625" style="3"/>
    <col min="8449" max="8449" width="4.7109375" style="3" customWidth="1"/>
    <col min="8450" max="8450" width="6.7109375" style="3" customWidth="1"/>
    <col min="8451" max="8451" width="41.42578125" style="3" customWidth="1"/>
    <col min="8452" max="8452" width="9.85546875" style="3" customWidth="1"/>
    <col min="8453" max="8453" width="9.7109375" style="3" customWidth="1"/>
    <col min="8454" max="8454" width="9.42578125" style="3" customWidth="1"/>
    <col min="8455" max="8455" width="8.28515625" style="3" customWidth="1"/>
    <col min="8456" max="8456" width="9.42578125" style="3" customWidth="1"/>
    <col min="8457" max="8458" width="9" style="3" customWidth="1"/>
    <col min="8459" max="8459" width="7.5703125" style="3" customWidth="1"/>
    <col min="8460" max="8467" width="0" style="3" hidden="1" customWidth="1"/>
    <col min="8468" max="8468" width="8.28515625" style="3" customWidth="1"/>
    <col min="8469" max="8704" width="9.140625" style="3"/>
    <col min="8705" max="8705" width="4.7109375" style="3" customWidth="1"/>
    <col min="8706" max="8706" width="6.7109375" style="3" customWidth="1"/>
    <col min="8707" max="8707" width="41.42578125" style="3" customWidth="1"/>
    <col min="8708" max="8708" width="9.85546875" style="3" customWidth="1"/>
    <col min="8709" max="8709" width="9.7109375" style="3" customWidth="1"/>
    <col min="8710" max="8710" width="9.42578125" style="3" customWidth="1"/>
    <col min="8711" max="8711" width="8.28515625" style="3" customWidth="1"/>
    <col min="8712" max="8712" width="9.42578125" style="3" customWidth="1"/>
    <col min="8713" max="8714" width="9" style="3" customWidth="1"/>
    <col min="8715" max="8715" width="7.5703125" style="3" customWidth="1"/>
    <col min="8716" max="8723" width="0" style="3" hidden="1" customWidth="1"/>
    <col min="8724" max="8724" width="8.28515625" style="3" customWidth="1"/>
    <col min="8725" max="8960" width="9.140625" style="3"/>
    <col min="8961" max="8961" width="4.7109375" style="3" customWidth="1"/>
    <col min="8962" max="8962" width="6.7109375" style="3" customWidth="1"/>
    <col min="8963" max="8963" width="41.42578125" style="3" customWidth="1"/>
    <col min="8964" max="8964" width="9.85546875" style="3" customWidth="1"/>
    <col min="8965" max="8965" width="9.7109375" style="3" customWidth="1"/>
    <col min="8966" max="8966" width="9.42578125" style="3" customWidth="1"/>
    <col min="8967" max="8967" width="8.28515625" style="3" customWidth="1"/>
    <col min="8968" max="8968" width="9.42578125" style="3" customWidth="1"/>
    <col min="8969" max="8970" width="9" style="3" customWidth="1"/>
    <col min="8971" max="8971" width="7.5703125" style="3" customWidth="1"/>
    <col min="8972" max="8979" width="0" style="3" hidden="1" customWidth="1"/>
    <col min="8980" max="8980" width="8.28515625" style="3" customWidth="1"/>
    <col min="8981" max="9216" width="9.140625" style="3"/>
    <col min="9217" max="9217" width="4.7109375" style="3" customWidth="1"/>
    <col min="9218" max="9218" width="6.7109375" style="3" customWidth="1"/>
    <col min="9219" max="9219" width="41.42578125" style="3" customWidth="1"/>
    <col min="9220" max="9220" width="9.85546875" style="3" customWidth="1"/>
    <col min="9221" max="9221" width="9.7109375" style="3" customWidth="1"/>
    <col min="9222" max="9222" width="9.42578125" style="3" customWidth="1"/>
    <col min="9223" max="9223" width="8.28515625" style="3" customWidth="1"/>
    <col min="9224" max="9224" width="9.42578125" style="3" customWidth="1"/>
    <col min="9225" max="9226" width="9" style="3" customWidth="1"/>
    <col min="9227" max="9227" width="7.5703125" style="3" customWidth="1"/>
    <col min="9228" max="9235" width="0" style="3" hidden="1" customWidth="1"/>
    <col min="9236" max="9236" width="8.28515625" style="3" customWidth="1"/>
    <col min="9237" max="9472" width="9.140625" style="3"/>
    <col min="9473" max="9473" width="4.7109375" style="3" customWidth="1"/>
    <col min="9474" max="9474" width="6.7109375" style="3" customWidth="1"/>
    <col min="9475" max="9475" width="41.42578125" style="3" customWidth="1"/>
    <col min="9476" max="9476" width="9.85546875" style="3" customWidth="1"/>
    <col min="9477" max="9477" width="9.7109375" style="3" customWidth="1"/>
    <col min="9478" max="9478" width="9.42578125" style="3" customWidth="1"/>
    <col min="9479" max="9479" width="8.28515625" style="3" customWidth="1"/>
    <col min="9480" max="9480" width="9.42578125" style="3" customWidth="1"/>
    <col min="9481" max="9482" width="9" style="3" customWidth="1"/>
    <col min="9483" max="9483" width="7.5703125" style="3" customWidth="1"/>
    <col min="9484" max="9491" width="0" style="3" hidden="1" customWidth="1"/>
    <col min="9492" max="9492" width="8.28515625" style="3" customWidth="1"/>
    <col min="9493" max="9728" width="9.140625" style="3"/>
    <col min="9729" max="9729" width="4.7109375" style="3" customWidth="1"/>
    <col min="9730" max="9730" width="6.7109375" style="3" customWidth="1"/>
    <col min="9731" max="9731" width="41.42578125" style="3" customWidth="1"/>
    <col min="9732" max="9732" width="9.85546875" style="3" customWidth="1"/>
    <col min="9733" max="9733" width="9.7109375" style="3" customWidth="1"/>
    <col min="9734" max="9734" width="9.42578125" style="3" customWidth="1"/>
    <col min="9735" max="9735" width="8.28515625" style="3" customWidth="1"/>
    <col min="9736" max="9736" width="9.42578125" style="3" customWidth="1"/>
    <col min="9737" max="9738" width="9" style="3" customWidth="1"/>
    <col min="9739" max="9739" width="7.5703125" style="3" customWidth="1"/>
    <col min="9740" max="9747" width="0" style="3" hidden="1" customWidth="1"/>
    <col min="9748" max="9748" width="8.28515625" style="3" customWidth="1"/>
    <col min="9749" max="9984" width="9.140625" style="3"/>
    <col min="9985" max="9985" width="4.7109375" style="3" customWidth="1"/>
    <col min="9986" max="9986" width="6.7109375" style="3" customWidth="1"/>
    <col min="9987" max="9987" width="41.42578125" style="3" customWidth="1"/>
    <col min="9988" max="9988" width="9.85546875" style="3" customWidth="1"/>
    <col min="9989" max="9989" width="9.7109375" style="3" customWidth="1"/>
    <col min="9990" max="9990" width="9.42578125" style="3" customWidth="1"/>
    <col min="9991" max="9991" width="8.28515625" style="3" customWidth="1"/>
    <col min="9992" max="9992" width="9.42578125" style="3" customWidth="1"/>
    <col min="9993" max="9994" width="9" style="3" customWidth="1"/>
    <col min="9995" max="9995" width="7.5703125" style="3" customWidth="1"/>
    <col min="9996" max="10003" width="0" style="3" hidden="1" customWidth="1"/>
    <col min="10004" max="10004" width="8.28515625" style="3" customWidth="1"/>
    <col min="10005" max="10240" width="9.140625" style="3"/>
    <col min="10241" max="10241" width="4.7109375" style="3" customWidth="1"/>
    <col min="10242" max="10242" width="6.7109375" style="3" customWidth="1"/>
    <col min="10243" max="10243" width="41.42578125" style="3" customWidth="1"/>
    <col min="10244" max="10244" width="9.85546875" style="3" customWidth="1"/>
    <col min="10245" max="10245" width="9.7109375" style="3" customWidth="1"/>
    <col min="10246" max="10246" width="9.42578125" style="3" customWidth="1"/>
    <col min="10247" max="10247" width="8.28515625" style="3" customWidth="1"/>
    <col min="10248" max="10248" width="9.42578125" style="3" customWidth="1"/>
    <col min="10249" max="10250" width="9" style="3" customWidth="1"/>
    <col min="10251" max="10251" width="7.5703125" style="3" customWidth="1"/>
    <col min="10252" max="10259" width="0" style="3" hidden="1" customWidth="1"/>
    <col min="10260" max="10260" width="8.28515625" style="3" customWidth="1"/>
    <col min="10261" max="10496" width="9.140625" style="3"/>
    <col min="10497" max="10497" width="4.7109375" style="3" customWidth="1"/>
    <col min="10498" max="10498" width="6.7109375" style="3" customWidth="1"/>
    <col min="10499" max="10499" width="41.42578125" style="3" customWidth="1"/>
    <col min="10500" max="10500" width="9.85546875" style="3" customWidth="1"/>
    <col min="10501" max="10501" width="9.7109375" style="3" customWidth="1"/>
    <col min="10502" max="10502" width="9.42578125" style="3" customWidth="1"/>
    <col min="10503" max="10503" width="8.28515625" style="3" customWidth="1"/>
    <col min="10504" max="10504" width="9.42578125" style="3" customWidth="1"/>
    <col min="10505" max="10506" width="9" style="3" customWidth="1"/>
    <col min="10507" max="10507" width="7.5703125" style="3" customWidth="1"/>
    <col min="10508" max="10515" width="0" style="3" hidden="1" customWidth="1"/>
    <col min="10516" max="10516" width="8.28515625" style="3" customWidth="1"/>
    <col min="10517" max="10752" width="9.140625" style="3"/>
    <col min="10753" max="10753" width="4.7109375" style="3" customWidth="1"/>
    <col min="10754" max="10754" width="6.7109375" style="3" customWidth="1"/>
    <col min="10755" max="10755" width="41.42578125" style="3" customWidth="1"/>
    <col min="10756" max="10756" width="9.85546875" style="3" customWidth="1"/>
    <col min="10757" max="10757" width="9.7109375" style="3" customWidth="1"/>
    <col min="10758" max="10758" width="9.42578125" style="3" customWidth="1"/>
    <col min="10759" max="10759" width="8.28515625" style="3" customWidth="1"/>
    <col min="10760" max="10760" width="9.42578125" style="3" customWidth="1"/>
    <col min="10761" max="10762" width="9" style="3" customWidth="1"/>
    <col min="10763" max="10763" width="7.5703125" style="3" customWidth="1"/>
    <col min="10764" max="10771" width="0" style="3" hidden="1" customWidth="1"/>
    <col min="10772" max="10772" width="8.28515625" style="3" customWidth="1"/>
    <col min="10773" max="11008" width="9.140625" style="3"/>
    <col min="11009" max="11009" width="4.7109375" style="3" customWidth="1"/>
    <col min="11010" max="11010" width="6.7109375" style="3" customWidth="1"/>
    <col min="11011" max="11011" width="41.42578125" style="3" customWidth="1"/>
    <col min="11012" max="11012" width="9.85546875" style="3" customWidth="1"/>
    <col min="11013" max="11013" width="9.7109375" style="3" customWidth="1"/>
    <col min="11014" max="11014" width="9.42578125" style="3" customWidth="1"/>
    <col min="11015" max="11015" width="8.28515625" style="3" customWidth="1"/>
    <col min="11016" max="11016" width="9.42578125" style="3" customWidth="1"/>
    <col min="11017" max="11018" width="9" style="3" customWidth="1"/>
    <col min="11019" max="11019" width="7.5703125" style="3" customWidth="1"/>
    <col min="11020" max="11027" width="0" style="3" hidden="1" customWidth="1"/>
    <col min="11028" max="11028" width="8.28515625" style="3" customWidth="1"/>
    <col min="11029" max="11264" width="9.140625" style="3"/>
    <col min="11265" max="11265" width="4.7109375" style="3" customWidth="1"/>
    <col min="11266" max="11266" width="6.7109375" style="3" customWidth="1"/>
    <col min="11267" max="11267" width="41.42578125" style="3" customWidth="1"/>
    <col min="11268" max="11268" width="9.85546875" style="3" customWidth="1"/>
    <col min="11269" max="11269" width="9.7109375" style="3" customWidth="1"/>
    <col min="11270" max="11270" width="9.42578125" style="3" customWidth="1"/>
    <col min="11271" max="11271" width="8.28515625" style="3" customWidth="1"/>
    <col min="11272" max="11272" width="9.42578125" style="3" customWidth="1"/>
    <col min="11273" max="11274" width="9" style="3" customWidth="1"/>
    <col min="11275" max="11275" width="7.5703125" style="3" customWidth="1"/>
    <col min="11276" max="11283" width="0" style="3" hidden="1" customWidth="1"/>
    <col min="11284" max="11284" width="8.28515625" style="3" customWidth="1"/>
    <col min="11285" max="11520" width="9.140625" style="3"/>
    <col min="11521" max="11521" width="4.7109375" style="3" customWidth="1"/>
    <col min="11522" max="11522" width="6.7109375" style="3" customWidth="1"/>
    <col min="11523" max="11523" width="41.42578125" style="3" customWidth="1"/>
    <col min="11524" max="11524" width="9.85546875" style="3" customWidth="1"/>
    <col min="11525" max="11525" width="9.7109375" style="3" customWidth="1"/>
    <col min="11526" max="11526" width="9.42578125" style="3" customWidth="1"/>
    <col min="11527" max="11527" width="8.28515625" style="3" customWidth="1"/>
    <col min="11528" max="11528" width="9.42578125" style="3" customWidth="1"/>
    <col min="11529" max="11530" width="9" style="3" customWidth="1"/>
    <col min="11531" max="11531" width="7.5703125" style="3" customWidth="1"/>
    <col min="11532" max="11539" width="0" style="3" hidden="1" customWidth="1"/>
    <col min="11540" max="11540" width="8.28515625" style="3" customWidth="1"/>
    <col min="11541" max="11776" width="9.140625" style="3"/>
    <col min="11777" max="11777" width="4.7109375" style="3" customWidth="1"/>
    <col min="11778" max="11778" width="6.7109375" style="3" customWidth="1"/>
    <col min="11779" max="11779" width="41.42578125" style="3" customWidth="1"/>
    <col min="11780" max="11780" width="9.85546875" style="3" customWidth="1"/>
    <col min="11781" max="11781" width="9.7109375" style="3" customWidth="1"/>
    <col min="11782" max="11782" width="9.42578125" style="3" customWidth="1"/>
    <col min="11783" max="11783" width="8.28515625" style="3" customWidth="1"/>
    <col min="11784" max="11784" width="9.42578125" style="3" customWidth="1"/>
    <col min="11785" max="11786" width="9" style="3" customWidth="1"/>
    <col min="11787" max="11787" width="7.5703125" style="3" customWidth="1"/>
    <col min="11788" max="11795" width="0" style="3" hidden="1" customWidth="1"/>
    <col min="11796" max="11796" width="8.28515625" style="3" customWidth="1"/>
    <col min="11797" max="12032" width="9.140625" style="3"/>
    <col min="12033" max="12033" width="4.7109375" style="3" customWidth="1"/>
    <col min="12034" max="12034" width="6.7109375" style="3" customWidth="1"/>
    <col min="12035" max="12035" width="41.42578125" style="3" customWidth="1"/>
    <col min="12036" max="12036" width="9.85546875" style="3" customWidth="1"/>
    <col min="12037" max="12037" width="9.7109375" style="3" customWidth="1"/>
    <col min="12038" max="12038" width="9.42578125" style="3" customWidth="1"/>
    <col min="12039" max="12039" width="8.28515625" style="3" customWidth="1"/>
    <col min="12040" max="12040" width="9.42578125" style="3" customWidth="1"/>
    <col min="12041" max="12042" width="9" style="3" customWidth="1"/>
    <col min="12043" max="12043" width="7.5703125" style="3" customWidth="1"/>
    <col min="12044" max="12051" width="0" style="3" hidden="1" customWidth="1"/>
    <col min="12052" max="12052" width="8.28515625" style="3" customWidth="1"/>
    <col min="12053" max="12288" width="9.140625" style="3"/>
    <col min="12289" max="12289" width="4.7109375" style="3" customWidth="1"/>
    <col min="12290" max="12290" width="6.7109375" style="3" customWidth="1"/>
    <col min="12291" max="12291" width="41.42578125" style="3" customWidth="1"/>
    <col min="12292" max="12292" width="9.85546875" style="3" customWidth="1"/>
    <col min="12293" max="12293" width="9.7109375" style="3" customWidth="1"/>
    <col min="12294" max="12294" width="9.42578125" style="3" customWidth="1"/>
    <col min="12295" max="12295" width="8.28515625" style="3" customWidth="1"/>
    <col min="12296" max="12296" width="9.42578125" style="3" customWidth="1"/>
    <col min="12297" max="12298" width="9" style="3" customWidth="1"/>
    <col min="12299" max="12299" width="7.5703125" style="3" customWidth="1"/>
    <col min="12300" max="12307" width="0" style="3" hidden="1" customWidth="1"/>
    <col min="12308" max="12308" width="8.28515625" style="3" customWidth="1"/>
    <col min="12309" max="12544" width="9.140625" style="3"/>
    <col min="12545" max="12545" width="4.7109375" style="3" customWidth="1"/>
    <col min="12546" max="12546" width="6.7109375" style="3" customWidth="1"/>
    <col min="12547" max="12547" width="41.42578125" style="3" customWidth="1"/>
    <col min="12548" max="12548" width="9.85546875" style="3" customWidth="1"/>
    <col min="12549" max="12549" width="9.7109375" style="3" customWidth="1"/>
    <col min="12550" max="12550" width="9.42578125" style="3" customWidth="1"/>
    <col min="12551" max="12551" width="8.28515625" style="3" customWidth="1"/>
    <col min="12552" max="12552" width="9.42578125" style="3" customWidth="1"/>
    <col min="12553" max="12554" width="9" style="3" customWidth="1"/>
    <col min="12555" max="12555" width="7.5703125" style="3" customWidth="1"/>
    <col min="12556" max="12563" width="0" style="3" hidden="1" customWidth="1"/>
    <col min="12564" max="12564" width="8.28515625" style="3" customWidth="1"/>
    <col min="12565" max="12800" width="9.140625" style="3"/>
    <col min="12801" max="12801" width="4.7109375" style="3" customWidth="1"/>
    <col min="12802" max="12802" width="6.7109375" style="3" customWidth="1"/>
    <col min="12803" max="12803" width="41.42578125" style="3" customWidth="1"/>
    <col min="12804" max="12804" width="9.85546875" style="3" customWidth="1"/>
    <col min="12805" max="12805" width="9.7109375" style="3" customWidth="1"/>
    <col min="12806" max="12806" width="9.42578125" style="3" customWidth="1"/>
    <col min="12807" max="12807" width="8.28515625" style="3" customWidth="1"/>
    <col min="12808" max="12808" width="9.42578125" style="3" customWidth="1"/>
    <col min="12809" max="12810" width="9" style="3" customWidth="1"/>
    <col min="12811" max="12811" width="7.5703125" style="3" customWidth="1"/>
    <col min="12812" max="12819" width="0" style="3" hidden="1" customWidth="1"/>
    <col min="12820" max="12820" width="8.28515625" style="3" customWidth="1"/>
    <col min="12821" max="13056" width="9.140625" style="3"/>
    <col min="13057" max="13057" width="4.7109375" style="3" customWidth="1"/>
    <col min="13058" max="13058" width="6.7109375" style="3" customWidth="1"/>
    <col min="13059" max="13059" width="41.42578125" style="3" customWidth="1"/>
    <col min="13060" max="13060" width="9.85546875" style="3" customWidth="1"/>
    <col min="13061" max="13061" width="9.7109375" style="3" customWidth="1"/>
    <col min="13062" max="13062" width="9.42578125" style="3" customWidth="1"/>
    <col min="13063" max="13063" width="8.28515625" style="3" customWidth="1"/>
    <col min="13064" max="13064" width="9.42578125" style="3" customWidth="1"/>
    <col min="13065" max="13066" width="9" style="3" customWidth="1"/>
    <col min="13067" max="13067" width="7.5703125" style="3" customWidth="1"/>
    <col min="13068" max="13075" width="0" style="3" hidden="1" customWidth="1"/>
    <col min="13076" max="13076" width="8.28515625" style="3" customWidth="1"/>
    <col min="13077" max="13312" width="9.140625" style="3"/>
    <col min="13313" max="13313" width="4.7109375" style="3" customWidth="1"/>
    <col min="13314" max="13314" width="6.7109375" style="3" customWidth="1"/>
    <col min="13315" max="13315" width="41.42578125" style="3" customWidth="1"/>
    <col min="13316" max="13316" width="9.85546875" style="3" customWidth="1"/>
    <col min="13317" max="13317" width="9.7109375" style="3" customWidth="1"/>
    <col min="13318" max="13318" width="9.42578125" style="3" customWidth="1"/>
    <col min="13319" max="13319" width="8.28515625" style="3" customWidth="1"/>
    <col min="13320" max="13320" width="9.42578125" style="3" customWidth="1"/>
    <col min="13321" max="13322" width="9" style="3" customWidth="1"/>
    <col min="13323" max="13323" width="7.5703125" style="3" customWidth="1"/>
    <col min="13324" max="13331" width="0" style="3" hidden="1" customWidth="1"/>
    <col min="13332" max="13332" width="8.28515625" style="3" customWidth="1"/>
    <col min="13333" max="13568" width="9.140625" style="3"/>
    <col min="13569" max="13569" width="4.7109375" style="3" customWidth="1"/>
    <col min="13570" max="13570" width="6.7109375" style="3" customWidth="1"/>
    <col min="13571" max="13571" width="41.42578125" style="3" customWidth="1"/>
    <col min="13572" max="13572" width="9.85546875" style="3" customWidth="1"/>
    <col min="13573" max="13573" width="9.7109375" style="3" customWidth="1"/>
    <col min="13574" max="13574" width="9.42578125" style="3" customWidth="1"/>
    <col min="13575" max="13575" width="8.28515625" style="3" customWidth="1"/>
    <col min="13576" max="13576" width="9.42578125" style="3" customWidth="1"/>
    <col min="13577" max="13578" width="9" style="3" customWidth="1"/>
    <col min="13579" max="13579" width="7.5703125" style="3" customWidth="1"/>
    <col min="13580" max="13587" width="0" style="3" hidden="1" customWidth="1"/>
    <col min="13588" max="13588" width="8.28515625" style="3" customWidth="1"/>
    <col min="13589" max="13824" width="9.140625" style="3"/>
    <col min="13825" max="13825" width="4.7109375" style="3" customWidth="1"/>
    <col min="13826" max="13826" width="6.7109375" style="3" customWidth="1"/>
    <col min="13827" max="13827" width="41.42578125" style="3" customWidth="1"/>
    <col min="13828" max="13828" width="9.85546875" style="3" customWidth="1"/>
    <col min="13829" max="13829" width="9.7109375" style="3" customWidth="1"/>
    <col min="13830" max="13830" width="9.42578125" style="3" customWidth="1"/>
    <col min="13831" max="13831" width="8.28515625" style="3" customWidth="1"/>
    <col min="13832" max="13832" width="9.42578125" style="3" customWidth="1"/>
    <col min="13833" max="13834" width="9" style="3" customWidth="1"/>
    <col min="13835" max="13835" width="7.5703125" style="3" customWidth="1"/>
    <col min="13836" max="13843" width="0" style="3" hidden="1" customWidth="1"/>
    <col min="13844" max="13844" width="8.28515625" style="3" customWidth="1"/>
    <col min="13845" max="14080" width="9.140625" style="3"/>
    <col min="14081" max="14081" width="4.7109375" style="3" customWidth="1"/>
    <col min="14082" max="14082" width="6.7109375" style="3" customWidth="1"/>
    <col min="14083" max="14083" width="41.42578125" style="3" customWidth="1"/>
    <col min="14084" max="14084" width="9.85546875" style="3" customWidth="1"/>
    <col min="14085" max="14085" width="9.7109375" style="3" customWidth="1"/>
    <col min="14086" max="14086" width="9.42578125" style="3" customWidth="1"/>
    <col min="14087" max="14087" width="8.28515625" style="3" customWidth="1"/>
    <col min="14088" max="14088" width="9.42578125" style="3" customWidth="1"/>
    <col min="14089" max="14090" width="9" style="3" customWidth="1"/>
    <col min="14091" max="14091" width="7.5703125" style="3" customWidth="1"/>
    <col min="14092" max="14099" width="0" style="3" hidden="1" customWidth="1"/>
    <col min="14100" max="14100" width="8.28515625" style="3" customWidth="1"/>
    <col min="14101" max="14336" width="9.140625" style="3"/>
    <col min="14337" max="14337" width="4.7109375" style="3" customWidth="1"/>
    <col min="14338" max="14338" width="6.7109375" style="3" customWidth="1"/>
    <col min="14339" max="14339" width="41.42578125" style="3" customWidth="1"/>
    <col min="14340" max="14340" width="9.85546875" style="3" customWidth="1"/>
    <col min="14341" max="14341" width="9.7109375" style="3" customWidth="1"/>
    <col min="14342" max="14342" width="9.42578125" style="3" customWidth="1"/>
    <col min="14343" max="14343" width="8.28515625" style="3" customWidth="1"/>
    <col min="14344" max="14344" width="9.42578125" style="3" customWidth="1"/>
    <col min="14345" max="14346" width="9" style="3" customWidth="1"/>
    <col min="14347" max="14347" width="7.5703125" style="3" customWidth="1"/>
    <col min="14348" max="14355" width="0" style="3" hidden="1" customWidth="1"/>
    <col min="14356" max="14356" width="8.28515625" style="3" customWidth="1"/>
    <col min="14357" max="14592" width="9.140625" style="3"/>
    <col min="14593" max="14593" width="4.7109375" style="3" customWidth="1"/>
    <col min="14594" max="14594" width="6.7109375" style="3" customWidth="1"/>
    <col min="14595" max="14595" width="41.42578125" style="3" customWidth="1"/>
    <col min="14596" max="14596" width="9.85546875" style="3" customWidth="1"/>
    <col min="14597" max="14597" width="9.7109375" style="3" customWidth="1"/>
    <col min="14598" max="14598" width="9.42578125" style="3" customWidth="1"/>
    <col min="14599" max="14599" width="8.28515625" style="3" customWidth="1"/>
    <col min="14600" max="14600" width="9.42578125" style="3" customWidth="1"/>
    <col min="14601" max="14602" width="9" style="3" customWidth="1"/>
    <col min="14603" max="14603" width="7.5703125" style="3" customWidth="1"/>
    <col min="14604" max="14611" width="0" style="3" hidden="1" customWidth="1"/>
    <col min="14612" max="14612" width="8.28515625" style="3" customWidth="1"/>
    <col min="14613" max="14848" width="9.140625" style="3"/>
    <col min="14849" max="14849" width="4.7109375" style="3" customWidth="1"/>
    <col min="14850" max="14850" width="6.7109375" style="3" customWidth="1"/>
    <col min="14851" max="14851" width="41.42578125" style="3" customWidth="1"/>
    <col min="14852" max="14852" width="9.85546875" style="3" customWidth="1"/>
    <col min="14853" max="14853" width="9.7109375" style="3" customWidth="1"/>
    <col min="14854" max="14854" width="9.42578125" style="3" customWidth="1"/>
    <col min="14855" max="14855" width="8.28515625" style="3" customWidth="1"/>
    <col min="14856" max="14856" width="9.42578125" style="3" customWidth="1"/>
    <col min="14857" max="14858" width="9" style="3" customWidth="1"/>
    <col min="14859" max="14859" width="7.5703125" style="3" customWidth="1"/>
    <col min="14860" max="14867" width="0" style="3" hidden="1" customWidth="1"/>
    <col min="14868" max="14868" width="8.28515625" style="3" customWidth="1"/>
    <col min="14869" max="15104" width="9.140625" style="3"/>
    <col min="15105" max="15105" width="4.7109375" style="3" customWidth="1"/>
    <col min="15106" max="15106" width="6.7109375" style="3" customWidth="1"/>
    <col min="15107" max="15107" width="41.42578125" style="3" customWidth="1"/>
    <col min="15108" max="15108" width="9.85546875" style="3" customWidth="1"/>
    <col min="15109" max="15109" width="9.7109375" style="3" customWidth="1"/>
    <col min="15110" max="15110" width="9.42578125" style="3" customWidth="1"/>
    <col min="15111" max="15111" width="8.28515625" style="3" customWidth="1"/>
    <col min="15112" max="15112" width="9.42578125" style="3" customWidth="1"/>
    <col min="15113" max="15114" width="9" style="3" customWidth="1"/>
    <col min="15115" max="15115" width="7.5703125" style="3" customWidth="1"/>
    <col min="15116" max="15123" width="0" style="3" hidden="1" customWidth="1"/>
    <col min="15124" max="15124" width="8.28515625" style="3" customWidth="1"/>
    <col min="15125" max="15360" width="9.140625" style="3"/>
    <col min="15361" max="15361" width="4.7109375" style="3" customWidth="1"/>
    <col min="15362" max="15362" width="6.7109375" style="3" customWidth="1"/>
    <col min="15363" max="15363" width="41.42578125" style="3" customWidth="1"/>
    <col min="15364" max="15364" width="9.85546875" style="3" customWidth="1"/>
    <col min="15365" max="15365" width="9.7109375" style="3" customWidth="1"/>
    <col min="15366" max="15366" width="9.42578125" style="3" customWidth="1"/>
    <col min="15367" max="15367" width="8.28515625" style="3" customWidth="1"/>
    <col min="15368" max="15368" width="9.42578125" style="3" customWidth="1"/>
    <col min="15369" max="15370" width="9" style="3" customWidth="1"/>
    <col min="15371" max="15371" width="7.5703125" style="3" customWidth="1"/>
    <col min="15372" max="15379" width="0" style="3" hidden="1" customWidth="1"/>
    <col min="15380" max="15380" width="8.28515625" style="3" customWidth="1"/>
    <col min="15381" max="15616" width="9.140625" style="3"/>
    <col min="15617" max="15617" width="4.7109375" style="3" customWidth="1"/>
    <col min="15618" max="15618" width="6.7109375" style="3" customWidth="1"/>
    <col min="15619" max="15619" width="41.42578125" style="3" customWidth="1"/>
    <col min="15620" max="15620" width="9.85546875" style="3" customWidth="1"/>
    <col min="15621" max="15621" width="9.7109375" style="3" customWidth="1"/>
    <col min="15622" max="15622" width="9.42578125" style="3" customWidth="1"/>
    <col min="15623" max="15623" width="8.28515625" style="3" customWidth="1"/>
    <col min="15624" max="15624" width="9.42578125" style="3" customWidth="1"/>
    <col min="15625" max="15626" width="9" style="3" customWidth="1"/>
    <col min="15627" max="15627" width="7.5703125" style="3" customWidth="1"/>
    <col min="15628" max="15635" width="0" style="3" hidden="1" customWidth="1"/>
    <col min="15636" max="15636" width="8.28515625" style="3" customWidth="1"/>
    <col min="15637" max="15872" width="9.140625" style="3"/>
    <col min="15873" max="15873" width="4.7109375" style="3" customWidth="1"/>
    <col min="15874" max="15874" width="6.7109375" style="3" customWidth="1"/>
    <col min="15875" max="15875" width="41.42578125" style="3" customWidth="1"/>
    <col min="15876" max="15876" width="9.85546875" style="3" customWidth="1"/>
    <col min="15877" max="15877" width="9.7109375" style="3" customWidth="1"/>
    <col min="15878" max="15878" width="9.42578125" style="3" customWidth="1"/>
    <col min="15879" max="15879" width="8.28515625" style="3" customWidth="1"/>
    <col min="15880" max="15880" width="9.42578125" style="3" customWidth="1"/>
    <col min="15881" max="15882" width="9" style="3" customWidth="1"/>
    <col min="15883" max="15883" width="7.5703125" style="3" customWidth="1"/>
    <col min="15884" max="15891" width="0" style="3" hidden="1" customWidth="1"/>
    <col min="15892" max="15892" width="8.28515625" style="3" customWidth="1"/>
    <col min="15893" max="16128" width="9.140625" style="3"/>
    <col min="16129" max="16129" width="4.7109375" style="3" customWidth="1"/>
    <col min="16130" max="16130" width="6.7109375" style="3" customWidth="1"/>
    <col min="16131" max="16131" width="41.42578125" style="3" customWidth="1"/>
    <col min="16132" max="16132" width="9.85546875" style="3" customWidth="1"/>
    <col min="16133" max="16133" width="9.7109375" style="3" customWidth="1"/>
    <col min="16134" max="16134" width="9.42578125" style="3" customWidth="1"/>
    <col min="16135" max="16135" width="8.28515625" style="3" customWidth="1"/>
    <col min="16136" max="16136" width="9.42578125" style="3" customWidth="1"/>
    <col min="16137" max="16138" width="9" style="3" customWidth="1"/>
    <col min="16139" max="16139" width="7.5703125" style="3" customWidth="1"/>
    <col min="16140" max="16147" width="0" style="3" hidden="1" customWidth="1"/>
    <col min="16148" max="16148" width="8.28515625" style="3" customWidth="1"/>
    <col min="16149" max="16384" width="9.140625" style="3"/>
  </cols>
  <sheetData>
    <row r="1" spans="1:20" x14ac:dyDescent="0.2">
      <c r="C1" s="239" t="s">
        <v>754</v>
      </c>
      <c r="D1" s="239"/>
      <c r="E1" s="239"/>
      <c r="F1" s="239"/>
      <c r="G1" s="239"/>
      <c r="H1" s="239"/>
      <c r="I1" s="239"/>
      <c r="J1" s="239"/>
      <c r="K1" s="239"/>
      <c r="L1" s="239"/>
      <c r="M1" s="239"/>
      <c r="N1" s="239"/>
      <c r="O1" s="239"/>
      <c r="P1" s="239"/>
      <c r="Q1" s="239"/>
      <c r="R1" s="239"/>
      <c r="S1" s="239"/>
      <c r="T1" s="239"/>
    </row>
    <row r="2" spans="1:20" x14ac:dyDescent="0.2">
      <c r="C2" s="239" t="s">
        <v>766</v>
      </c>
      <c r="D2" s="239"/>
      <c r="E2" s="239"/>
      <c r="F2" s="239"/>
      <c r="G2" s="239"/>
      <c r="H2" s="239"/>
      <c r="I2" s="239"/>
      <c r="J2" s="239"/>
      <c r="K2" s="239"/>
      <c r="L2" s="239"/>
      <c r="M2" s="239"/>
      <c r="N2" s="239"/>
      <c r="O2" s="239"/>
      <c r="P2" s="239"/>
      <c r="Q2" s="239"/>
      <c r="R2" s="239"/>
      <c r="S2" s="239"/>
      <c r="T2" s="239"/>
    </row>
    <row r="3" spans="1:20" x14ac:dyDescent="0.2">
      <c r="E3" s="259" t="s">
        <v>751</v>
      </c>
      <c r="F3" s="259"/>
      <c r="G3" s="259"/>
      <c r="H3" s="259"/>
      <c r="I3" s="259"/>
      <c r="J3" s="259"/>
      <c r="K3" s="259"/>
      <c r="L3" s="259"/>
      <c r="M3" s="259"/>
      <c r="N3" s="259"/>
      <c r="O3" s="259"/>
      <c r="P3" s="259"/>
      <c r="Q3" s="259"/>
      <c r="R3" s="259"/>
      <c r="S3" s="259"/>
      <c r="T3" s="259"/>
    </row>
    <row r="4" spans="1:20" ht="15.75" x14ac:dyDescent="0.2">
      <c r="E4" s="6"/>
      <c r="F4" s="6"/>
      <c r="G4" s="6"/>
      <c r="H4" s="6"/>
      <c r="I4" s="6"/>
      <c r="J4" s="6"/>
      <c r="K4" s="6"/>
    </row>
    <row r="5" spans="1:20" ht="27.6" customHeight="1" x14ac:dyDescent="0.2">
      <c r="A5" s="284" t="s">
        <v>708</v>
      </c>
      <c r="B5" s="284"/>
      <c r="C5" s="284"/>
      <c r="D5" s="284"/>
      <c r="E5" s="284"/>
      <c r="F5" s="284"/>
      <c r="G5" s="284"/>
      <c r="H5" s="284"/>
      <c r="I5" s="284"/>
      <c r="J5" s="284"/>
      <c r="K5" s="284"/>
    </row>
    <row r="6" spans="1:20" x14ac:dyDescent="0.2">
      <c r="A6" s="173"/>
      <c r="B6" s="174"/>
      <c r="C6" s="175"/>
      <c r="D6" s="176"/>
      <c r="E6" s="177"/>
      <c r="F6" s="177"/>
      <c r="G6" s="177"/>
      <c r="H6" s="177"/>
      <c r="I6" s="259" t="s">
        <v>3</v>
      </c>
      <c r="J6" s="259"/>
      <c r="K6" s="259"/>
      <c r="L6" s="259"/>
      <c r="M6" s="259"/>
      <c r="N6" s="259"/>
      <c r="O6" s="259"/>
      <c r="P6" s="259"/>
      <c r="Q6" s="259"/>
      <c r="R6" s="259"/>
      <c r="S6" s="259"/>
      <c r="T6" s="259"/>
    </row>
    <row r="7" spans="1:20" ht="12.75" customHeight="1" x14ac:dyDescent="0.2">
      <c r="A7" s="242" t="s">
        <v>504</v>
      </c>
      <c r="B7" s="268" t="s">
        <v>505</v>
      </c>
      <c r="C7" s="268" t="s">
        <v>6</v>
      </c>
      <c r="D7" s="242" t="s">
        <v>7</v>
      </c>
      <c r="E7" s="246" t="s">
        <v>8</v>
      </c>
      <c r="F7" s="247"/>
      <c r="G7" s="246" t="s">
        <v>9</v>
      </c>
      <c r="H7" s="256"/>
      <c r="I7" s="256"/>
      <c r="J7" s="256"/>
      <c r="K7" s="256"/>
      <c r="L7" s="256"/>
      <c r="M7" s="256"/>
      <c r="N7" s="256"/>
      <c r="O7" s="256"/>
      <c r="P7" s="256"/>
      <c r="Q7" s="256"/>
      <c r="R7" s="256"/>
      <c r="S7" s="256"/>
      <c r="T7" s="247"/>
    </row>
    <row r="8" spans="1:20" ht="12.75" customHeight="1" x14ac:dyDescent="0.2">
      <c r="A8" s="264"/>
      <c r="B8" s="269"/>
      <c r="C8" s="269"/>
      <c r="D8" s="264"/>
      <c r="E8" s="248"/>
      <c r="F8" s="249"/>
      <c r="G8" s="240" t="s">
        <v>10</v>
      </c>
      <c r="H8" s="285"/>
      <c r="I8" s="285"/>
      <c r="J8" s="241"/>
      <c r="K8" s="246" t="s">
        <v>11</v>
      </c>
      <c r="L8" s="256"/>
      <c r="M8" s="256"/>
      <c r="N8" s="256"/>
      <c r="O8" s="256"/>
      <c r="P8" s="256"/>
      <c r="Q8" s="256"/>
      <c r="R8" s="256"/>
      <c r="S8" s="256"/>
      <c r="T8" s="247"/>
    </row>
    <row r="9" spans="1:20" ht="24.6" customHeight="1" x14ac:dyDescent="0.2">
      <c r="A9" s="264"/>
      <c r="B9" s="269"/>
      <c r="C9" s="269"/>
      <c r="D9" s="264"/>
      <c r="E9" s="242" t="s">
        <v>12</v>
      </c>
      <c r="F9" s="242" t="s">
        <v>13</v>
      </c>
      <c r="G9" s="240" t="s">
        <v>506</v>
      </c>
      <c r="H9" s="241"/>
      <c r="I9" s="240" t="s">
        <v>14</v>
      </c>
      <c r="J9" s="241"/>
      <c r="K9" s="242" t="s">
        <v>12</v>
      </c>
      <c r="T9" s="244" t="s">
        <v>13</v>
      </c>
    </row>
    <row r="10" spans="1:20" ht="19.149999999999999" customHeight="1" x14ac:dyDescent="0.2">
      <c r="A10" s="243"/>
      <c r="B10" s="270"/>
      <c r="C10" s="270"/>
      <c r="D10" s="243"/>
      <c r="E10" s="243"/>
      <c r="F10" s="243"/>
      <c r="G10" s="8" t="s">
        <v>12</v>
      </c>
      <c r="H10" s="8" t="s">
        <v>13</v>
      </c>
      <c r="I10" s="8" t="s">
        <v>12</v>
      </c>
      <c r="J10" s="8" t="s">
        <v>13</v>
      </c>
      <c r="K10" s="243"/>
      <c r="T10" s="245"/>
    </row>
    <row r="11" spans="1:20" s="102" customFormat="1" ht="12.75" customHeight="1" x14ac:dyDescent="0.2">
      <c r="A11" s="9">
        <v>1</v>
      </c>
      <c r="B11" s="12" t="s">
        <v>15</v>
      </c>
      <c r="C11" s="12" t="s">
        <v>694</v>
      </c>
      <c r="D11" s="8">
        <v>4</v>
      </c>
      <c r="E11" s="8">
        <v>5</v>
      </c>
      <c r="F11" s="8">
        <v>6</v>
      </c>
      <c r="G11" s="8">
        <v>7</v>
      </c>
      <c r="H11" s="8">
        <v>8</v>
      </c>
      <c r="I11" s="8">
        <v>9</v>
      </c>
      <c r="J11" s="8">
        <v>10</v>
      </c>
      <c r="K11" s="9">
        <v>11</v>
      </c>
      <c r="L11" s="3"/>
      <c r="M11" s="3"/>
      <c r="N11" s="3"/>
      <c r="T11" s="230">
        <v>12</v>
      </c>
    </row>
    <row r="12" spans="1:20" s="102" customFormat="1" ht="16.149999999999999" customHeight="1" x14ac:dyDescent="0.2">
      <c r="A12" s="13">
        <v>1</v>
      </c>
      <c r="B12" s="11" t="s">
        <v>16</v>
      </c>
      <c r="C12" s="14" t="s">
        <v>17</v>
      </c>
      <c r="D12" s="8"/>
      <c r="E12" s="192">
        <f t="shared" ref="E12:F31" si="0">+G12+K12</f>
        <v>617</v>
      </c>
      <c r="F12" s="192">
        <f>+H12+T12</f>
        <v>614.09999999999991</v>
      </c>
      <c r="G12" s="192">
        <f>+G13+G15+G19</f>
        <v>550.6</v>
      </c>
      <c r="H12" s="192">
        <f>+H13+H15+H19</f>
        <v>547.69999999999993</v>
      </c>
      <c r="I12" s="192">
        <f>+I13+I15+I19</f>
        <v>442.09999999999997</v>
      </c>
      <c r="J12" s="192">
        <f>+J13+J15+J19</f>
        <v>439.3</v>
      </c>
      <c r="K12" s="192">
        <f>+K13+K15+K19</f>
        <v>66.400000000000006</v>
      </c>
      <c r="L12" s="192">
        <f t="shared" ref="L12:T12" si="1">+L13+L15+L19</f>
        <v>0</v>
      </c>
      <c r="M12" s="192">
        <f t="shared" si="1"/>
        <v>0</v>
      </c>
      <c r="N12" s="192">
        <f t="shared" si="1"/>
        <v>-5.8</v>
      </c>
      <c r="O12" s="192">
        <f t="shared" si="1"/>
        <v>0</v>
      </c>
      <c r="P12" s="192">
        <f t="shared" si="1"/>
        <v>0</v>
      </c>
      <c r="Q12" s="192">
        <f t="shared" si="1"/>
        <v>0</v>
      </c>
      <c r="R12" s="192">
        <f t="shared" si="1"/>
        <v>0</v>
      </c>
      <c r="S12" s="192">
        <f t="shared" si="1"/>
        <v>0</v>
      </c>
      <c r="T12" s="237">
        <f t="shared" si="1"/>
        <v>66.400000000000006</v>
      </c>
    </row>
    <row r="13" spans="1:20" s="102" customFormat="1" ht="27.75" customHeight="1" x14ac:dyDescent="0.2">
      <c r="A13" s="13">
        <v>2</v>
      </c>
      <c r="B13" s="16" t="s">
        <v>709</v>
      </c>
      <c r="C13" s="180" t="s">
        <v>710</v>
      </c>
      <c r="D13" s="184"/>
      <c r="E13" s="193">
        <f t="shared" si="0"/>
        <v>534.4</v>
      </c>
      <c r="F13" s="235">
        <f>+H13+T13</f>
        <v>534.4</v>
      </c>
      <c r="G13" s="193">
        <f>+G14</f>
        <v>534.4</v>
      </c>
      <c r="H13" s="193">
        <f>+H14</f>
        <v>534.4</v>
      </c>
      <c r="I13" s="193">
        <f>+I14</f>
        <v>426.2</v>
      </c>
      <c r="J13" s="193">
        <f>+J14</f>
        <v>426.2</v>
      </c>
      <c r="K13" s="193">
        <f>+K14</f>
        <v>0</v>
      </c>
      <c r="L13" s="193">
        <f t="shared" ref="L13:T13" si="2">+L14</f>
        <v>0</v>
      </c>
      <c r="M13" s="193">
        <f t="shared" si="2"/>
        <v>0</v>
      </c>
      <c r="N13" s="193">
        <f t="shared" si="2"/>
        <v>-5.8</v>
      </c>
      <c r="O13" s="193">
        <f t="shared" si="2"/>
        <v>0</v>
      </c>
      <c r="P13" s="193">
        <f t="shared" si="2"/>
        <v>0</v>
      </c>
      <c r="Q13" s="193">
        <f t="shared" si="2"/>
        <v>0</v>
      </c>
      <c r="R13" s="193">
        <f t="shared" si="2"/>
        <v>0</v>
      </c>
      <c r="S13" s="193">
        <f t="shared" si="2"/>
        <v>0</v>
      </c>
      <c r="T13" s="194">
        <f t="shared" si="2"/>
        <v>0</v>
      </c>
    </row>
    <row r="14" spans="1:20" ht="18" customHeight="1" x14ac:dyDescent="0.2">
      <c r="A14" s="13">
        <v>3</v>
      </c>
      <c r="B14" s="11"/>
      <c r="C14" s="104" t="s">
        <v>48</v>
      </c>
      <c r="D14" s="26" t="s">
        <v>38</v>
      </c>
      <c r="E14" s="77">
        <f t="shared" si="0"/>
        <v>534.4</v>
      </c>
      <c r="F14" s="235">
        <f t="shared" si="0"/>
        <v>534.4</v>
      </c>
      <c r="G14" s="77">
        <v>534.4</v>
      </c>
      <c r="H14" s="77">
        <v>534.4</v>
      </c>
      <c r="I14" s="77">
        <f>432-5.8</f>
        <v>426.2</v>
      </c>
      <c r="J14" s="77">
        <v>426.2</v>
      </c>
      <c r="K14" s="77"/>
      <c r="L14" s="22">
        <f t="shared" ref="L14:L43" si="3">+M14+O14</f>
        <v>0</v>
      </c>
      <c r="M14" s="22"/>
      <c r="N14" s="22">
        <v>-5.8</v>
      </c>
      <c r="P14" s="157">
        <f t="shared" ref="P14:P43" si="4">+Q14+S14</f>
        <v>0</v>
      </c>
      <c r="Q14" s="157"/>
      <c r="R14" s="157"/>
      <c r="S14" s="157"/>
      <c r="T14" s="17"/>
    </row>
    <row r="15" spans="1:20" ht="28.15" customHeight="1" x14ac:dyDescent="0.2">
      <c r="A15" s="13">
        <v>4</v>
      </c>
      <c r="B15" s="16" t="s">
        <v>711</v>
      </c>
      <c r="C15" s="195" t="s">
        <v>712</v>
      </c>
      <c r="D15" s="26"/>
      <c r="E15" s="193">
        <f t="shared" si="0"/>
        <v>66.400000000000006</v>
      </c>
      <c r="F15" s="235">
        <v>66.400000000000006</v>
      </c>
      <c r="G15" s="196">
        <f>+G16</f>
        <v>0</v>
      </c>
      <c r="H15" s="196"/>
      <c r="I15" s="196">
        <f>+I16</f>
        <v>0</v>
      </c>
      <c r="J15" s="196"/>
      <c r="K15" s="196">
        <f>+K16</f>
        <v>66.400000000000006</v>
      </c>
      <c r="L15" s="196">
        <f t="shared" ref="L15:T15" si="5">+L16</f>
        <v>0</v>
      </c>
      <c r="M15" s="196">
        <f t="shared" si="5"/>
        <v>0</v>
      </c>
      <c r="N15" s="196">
        <f t="shared" si="5"/>
        <v>0</v>
      </c>
      <c r="O15" s="196">
        <f t="shared" si="5"/>
        <v>0</v>
      </c>
      <c r="P15" s="196">
        <f t="shared" si="5"/>
        <v>0</v>
      </c>
      <c r="Q15" s="196">
        <f t="shared" si="5"/>
        <v>0</v>
      </c>
      <c r="R15" s="196">
        <f t="shared" si="5"/>
        <v>0</v>
      </c>
      <c r="S15" s="196">
        <f t="shared" si="5"/>
        <v>0</v>
      </c>
      <c r="T15" s="194">
        <f t="shared" si="5"/>
        <v>66.400000000000006</v>
      </c>
    </row>
    <row r="16" spans="1:20" ht="16.149999999999999" customHeight="1" x14ac:dyDescent="0.2">
      <c r="A16" s="13">
        <v>5</v>
      </c>
      <c r="B16" s="16"/>
      <c r="C16" s="197" t="s">
        <v>534</v>
      </c>
      <c r="D16" s="26" t="s">
        <v>30</v>
      </c>
      <c r="E16" s="77">
        <f t="shared" si="0"/>
        <v>66.400000000000006</v>
      </c>
      <c r="F16" s="77">
        <v>66.400000000000006</v>
      </c>
      <c r="G16" s="198">
        <f>+G17+G18</f>
        <v>0</v>
      </c>
      <c r="H16" s="198"/>
      <c r="I16" s="198">
        <f>+I17+I18</f>
        <v>0</v>
      </c>
      <c r="J16" s="198"/>
      <c r="K16" s="198">
        <f>+K17+K18</f>
        <v>66.400000000000006</v>
      </c>
      <c r="L16" s="198">
        <f t="shared" ref="L16:T16" si="6">+L17+L18</f>
        <v>0</v>
      </c>
      <c r="M16" s="198">
        <f t="shared" si="6"/>
        <v>0</v>
      </c>
      <c r="N16" s="198">
        <f t="shared" si="6"/>
        <v>0</v>
      </c>
      <c r="O16" s="198">
        <f t="shared" si="6"/>
        <v>0</v>
      </c>
      <c r="P16" s="198">
        <f t="shared" si="6"/>
        <v>0</v>
      </c>
      <c r="Q16" s="198">
        <f t="shared" si="6"/>
        <v>0</v>
      </c>
      <c r="R16" s="198">
        <f t="shared" si="6"/>
        <v>0</v>
      </c>
      <c r="S16" s="198">
        <f t="shared" si="6"/>
        <v>0</v>
      </c>
      <c r="T16" s="17">
        <f t="shared" si="6"/>
        <v>66.400000000000006</v>
      </c>
    </row>
    <row r="17" spans="1:20" ht="25.5" x14ac:dyDescent="0.2">
      <c r="A17" s="13" t="s">
        <v>541</v>
      </c>
      <c r="B17" s="11"/>
      <c r="C17" s="27" t="s">
        <v>713</v>
      </c>
      <c r="D17" s="107"/>
      <c r="E17" s="77">
        <f t="shared" si="0"/>
        <v>50</v>
      </c>
      <c r="F17" s="199">
        <v>50</v>
      </c>
      <c r="G17" s="77"/>
      <c r="H17" s="77"/>
      <c r="I17" s="77"/>
      <c r="J17" s="77"/>
      <c r="K17" s="77">
        <v>50</v>
      </c>
      <c r="L17" s="22">
        <f t="shared" si="3"/>
        <v>0</v>
      </c>
      <c r="M17" s="22"/>
      <c r="N17" s="22"/>
      <c r="P17" s="157">
        <f t="shared" si="4"/>
        <v>0</v>
      </c>
      <c r="Q17" s="157"/>
      <c r="R17" s="157"/>
      <c r="S17" s="157"/>
      <c r="T17" s="17">
        <v>50</v>
      </c>
    </row>
    <row r="18" spans="1:20" ht="25.5" x14ac:dyDescent="0.2">
      <c r="A18" s="13" t="s">
        <v>714</v>
      </c>
      <c r="B18" s="11"/>
      <c r="C18" s="27" t="s">
        <v>93</v>
      </c>
      <c r="D18" s="200" t="s">
        <v>38</v>
      </c>
      <c r="E18" s="77">
        <f t="shared" si="0"/>
        <v>16.399999999999999</v>
      </c>
      <c r="F18" s="77">
        <f>+H18+T18</f>
        <v>16.399999999999999</v>
      </c>
      <c r="G18" s="77">
        <v>0</v>
      </c>
      <c r="H18" s="77">
        <v>0</v>
      </c>
      <c r="I18" s="77"/>
      <c r="J18" s="77"/>
      <c r="K18" s="77">
        <v>16.399999999999999</v>
      </c>
      <c r="L18" s="22">
        <f t="shared" si="3"/>
        <v>0</v>
      </c>
      <c r="M18" s="22"/>
      <c r="N18" s="22"/>
      <c r="P18" s="157">
        <f t="shared" si="4"/>
        <v>0</v>
      </c>
      <c r="Q18" s="157"/>
      <c r="R18" s="157"/>
      <c r="S18" s="157"/>
      <c r="T18" s="17">
        <v>16.399999999999999</v>
      </c>
    </row>
    <row r="19" spans="1:20" ht="38.25" x14ac:dyDescent="0.2">
      <c r="A19" s="13">
        <v>6</v>
      </c>
      <c r="B19" s="16" t="s">
        <v>715</v>
      </c>
      <c r="C19" s="180" t="s">
        <v>716</v>
      </c>
      <c r="D19" s="201"/>
      <c r="E19" s="193">
        <f t="shared" si="0"/>
        <v>16.2</v>
      </c>
      <c r="F19" s="236">
        <f t="shared" si="0"/>
        <v>13.3</v>
      </c>
      <c r="G19" s="193">
        <f>+G20</f>
        <v>16.2</v>
      </c>
      <c r="H19" s="193">
        <f>+H20</f>
        <v>13.3</v>
      </c>
      <c r="I19" s="196">
        <f>+I20</f>
        <v>15.9</v>
      </c>
      <c r="J19" s="196">
        <f>+J20</f>
        <v>13.1</v>
      </c>
      <c r="K19" s="193">
        <f>+K20</f>
        <v>0</v>
      </c>
      <c r="L19" s="22">
        <f t="shared" si="3"/>
        <v>0</v>
      </c>
      <c r="M19" s="22"/>
      <c r="N19" s="22"/>
      <c r="P19" s="157">
        <f t="shared" si="4"/>
        <v>0</v>
      </c>
      <c r="Q19" s="157"/>
      <c r="R19" s="157"/>
      <c r="S19" s="157"/>
      <c r="T19" s="194">
        <v>0</v>
      </c>
    </row>
    <row r="20" spans="1:20" x14ac:dyDescent="0.2">
      <c r="A20" s="13">
        <v>7</v>
      </c>
      <c r="B20" s="16"/>
      <c r="C20" s="145" t="s">
        <v>61</v>
      </c>
      <c r="D20" s="202" t="s">
        <v>717</v>
      </c>
      <c r="E20" s="77">
        <f t="shared" si="0"/>
        <v>16.2</v>
      </c>
      <c r="F20" s="77">
        <f t="shared" si="0"/>
        <v>13.3</v>
      </c>
      <c r="G20" s="77">
        <v>16.2</v>
      </c>
      <c r="H20" s="77">
        <v>13.3</v>
      </c>
      <c r="I20" s="77">
        <v>15.9</v>
      </c>
      <c r="J20" s="77">
        <v>13.1</v>
      </c>
      <c r="K20" s="77"/>
      <c r="L20" s="22">
        <f t="shared" si="3"/>
        <v>0</v>
      </c>
      <c r="M20" s="22"/>
      <c r="N20" s="22"/>
      <c r="P20" s="157">
        <f t="shared" si="4"/>
        <v>0</v>
      </c>
      <c r="Q20" s="157"/>
      <c r="R20" s="157"/>
      <c r="S20" s="157"/>
      <c r="T20" s="17"/>
    </row>
    <row r="21" spans="1:20" x14ac:dyDescent="0.2">
      <c r="A21" s="13">
        <v>8</v>
      </c>
      <c r="B21" s="11" t="s">
        <v>94</v>
      </c>
      <c r="C21" s="51" t="s">
        <v>95</v>
      </c>
      <c r="D21" s="202"/>
      <c r="E21" s="126">
        <f t="shared" si="0"/>
        <v>45</v>
      </c>
      <c r="F21" s="126">
        <f t="shared" si="0"/>
        <v>45</v>
      </c>
      <c r="G21" s="126">
        <f t="shared" ref="G21:T22" si="7">+G22</f>
        <v>0</v>
      </c>
      <c r="H21" s="126">
        <f t="shared" si="7"/>
        <v>0</v>
      </c>
      <c r="I21" s="126">
        <f t="shared" si="7"/>
        <v>0</v>
      </c>
      <c r="J21" s="126">
        <f t="shared" si="7"/>
        <v>0</v>
      </c>
      <c r="K21" s="126">
        <f t="shared" si="7"/>
        <v>45</v>
      </c>
      <c r="L21" s="126">
        <f t="shared" si="7"/>
        <v>45</v>
      </c>
      <c r="M21" s="126">
        <f t="shared" si="7"/>
        <v>45</v>
      </c>
      <c r="N21" s="126">
        <f t="shared" si="7"/>
        <v>45</v>
      </c>
      <c r="O21" s="126">
        <f t="shared" si="7"/>
        <v>45</v>
      </c>
      <c r="P21" s="126">
        <f t="shared" si="7"/>
        <v>45</v>
      </c>
      <c r="Q21" s="126">
        <f t="shared" si="7"/>
        <v>45</v>
      </c>
      <c r="R21" s="126">
        <f t="shared" si="7"/>
        <v>45</v>
      </c>
      <c r="S21" s="126">
        <f t="shared" si="7"/>
        <v>45</v>
      </c>
      <c r="T21" s="155">
        <f t="shared" si="7"/>
        <v>45</v>
      </c>
    </row>
    <row r="22" spans="1:20" ht="29.45" customHeight="1" x14ac:dyDescent="0.2">
      <c r="A22" s="13">
        <v>9</v>
      </c>
      <c r="B22" s="16"/>
      <c r="C22" s="195" t="s">
        <v>712</v>
      </c>
      <c r="D22" s="202"/>
      <c r="E22" s="203">
        <f t="shared" si="0"/>
        <v>45</v>
      </c>
      <c r="F22" s="203">
        <f t="shared" si="0"/>
        <v>45</v>
      </c>
      <c r="G22" s="203">
        <f t="shared" si="7"/>
        <v>0</v>
      </c>
      <c r="H22" s="203">
        <f t="shared" si="7"/>
        <v>0</v>
      </c>
      <c r="I22" s="203">
        <f t="shared" si="7"/>
        <v>0</v>
      </c>
      <c r="J22" s="203">
        <f t="shared" si="7"/>
        <v>0</v>
      </c>
      <c r="K22" s="203">
        <f t="shared" si="7"/>
        <v>45</v>
      </c>
      <c r="L22" s="203">
        <f t="shared" si="7"/>
        <v>45</v>
      </c>
      <c r="M22" s="203">
        <f t="shared" si="7"/>
        <v>45</v>
      </c>
      <c r="N22" s="203">
        <f t="shared" si="7"/>
        <v>45</v>
      </c>
      <c r="O22" s="203">
        <f t="shared" si="7"/>
        <v>45</v>
      </c>
      <c r="P22" s="203">
        <f t="shared" si="7"/>
        <v>45</v>
      </c>
      <c r="Q22" s="203">
        <f t="shared" si="7"/>
        <v>45</v>
      </c>
      <c r="R22" s="203">
        <f t="shared" si="7"/>
        <v>45</v>
      </c>
      <c r="S22" s="203">
        <f t="shared" si="7"/>
        <v>45</v>
      </c>
      <c r="T22" s="204">
        <f t="shared" si="7"/>
        <v>45</v>
      </c>
    </row>
    <row r="23" spans="1:20" ht="15.6" customHeight="1" x14ac:dyDescent="0.2">
      <c r="A23" s="13">
        <v>10</v>
      </c>
      <c r="B23" s="16"/>
      <c r="C23" s="109" t="s">
        <v>534</v>
      </c>
      <c r="D23" s="202" t="s">
        <v>113</v>
      </c>
      <c r="E23" s="77">
        <f t="shared" si="0"/>
        <v>45</v>
      </c>
      <c r="F23" s="77">
        <f t="shared" si="0"/>
        <v>45</v>
      </c>
      <c r="G23" s="77"/>
      <c r="H23" s="77"/>
      <c r="I23" s="77"/>
      <c r="J23" s="77"/>
      <c r="K23" s="77">
        <v>45</v>
      </c>
      <c r="L23" s="77">
        <v>45</v>
      </c>
      <c r="M23" s="77">
        <v>45</v>
      </c>
      <c r="N23" s="77">
        <v>45</v>
      </c>
      <c r="O23" s="77">
        <v>45</v>
      </c>
      <c r="P23" s="77">
        <v>45</v>
      </c>
      <c r="Q23" s="77">
        <v>45</v>
      </c>
      <c r="R23" s="77">
        <v>45</v>
      </c>
      <c r="S23" s="77">
        <v>45</v>
      </c>
      <c r="T23" s="17">
        <v>45</v>
      </c>
    </row>
    <row r="24" spans="1:20" ht="51" x14ac:dyDescent="0.2">
      <c r="A24" s="13" t="s">
        <v>718</v>
      </c>
      <c r="B24" s="16"/>
      <c r="C24" s="145" t="s">
        <v>719</v>
      </c>
      <c r="D24" s="202"/>
      <c r="E24" s="77">
        <f t="shared" si="0"/>
        <v>45</v>
      </c>
      <c r="F24" s="77">
        <f t="shared" ref="F24:F44" si="8">+H24+T24</f>
        <v>45</v>
      </c>
      <c r="G24" s="77"/>
      <c r="H24" s="77"/>
      <c r="I24" s="77"/>
      <c r="J24" s="77"/>
      <c r="K24" s="77">
        <v>45</v>
      </c>
      <c r="L24" s="22">
        <f t="shared" si="3"/>
        <v>0</v>
      </c>
      <c r="M24" s="22"/>
      <c r="N24" s="22"/>
      <c r="P24" s="157">
        <f t="shared" si="4"/>
        <v>0</v>
      </c>
      <c r="Q24" s="157"/>
      <c r="R24" s="157"/>
      <c r="S24" s="157"/>
      <c r="T24" s="17">
        <v>45</v>
      </c>
    </row>
    <row r="25" spans="1:20" ht="18" customHeight="1" x14ac:dyDescent="0.2">
      <c r="A25" s="13">
        <v>11</v>
      </c>
      <c r="B25" s="11" t="s">
        <v>203</v>
      </c>
      <c r="C25" s="51" t="s">
        <v>204</v>
      </c>
      <c r="D25" s="16"/>
      <c r="E25" s="126">
        <f t="shared" si="0"/>
        <v>106</v>
      </c>
      <c r="F25" s="126">
        <f t="shared" si="8"/>
        <v>106</v>
      </c>
      <c r="G25" s="126">
        <f t="shared" ref="G25:T27" si="9">+G26</f>
        <v>0</v>
      </c>
      <c r="H25" s="126">
        <f t="shared" si="9"/>
        <v>0</v>
      </c>
      <c r="I25" s="126">
        <f t="shared" si="9"/>
        <v>0</v>
      </c>
      <c r="J25" s="126">
        <f t="shared" si="9"/>
        <v>0</v>
      </c>
      <c r="K25" s="126">
        <f t="shared" si="9"/>
        <v>106</v>
      </c>
      <c r="L25" s="126">
        <f t="shared" si="9"/>
        <v>0</v>
      </c>
      <c r="M25" s="126">
        <f t="shared" si="9"/>
        <v>0</v>
      </c>
      <c r="N25" s="126">
        <f t="shared" si="9"/>
        <v>0</v>
      </c>
      <c r="O25" s="126">
        <f t="shared" si="9"/>
        <v>0</v>
      </c>
      <c r="P25" s="126">
        <f t="shared" si="9"/>
        <v>0</v>
      </c>
      <c r="Q25" s="126">
        <f t="shared" si="9"/>
        <v>0</v>
      </c>
      <c r="R25" s="126">
        <f t="shared" si="9"/>
        <v>0</v>
      </c>
      <c r="S25" s="126">
        <f t="shared" si="9"/>
        <v>0</v>
      </c>
      <c r="T25" s="126">
        <f t="shared" si="9"/>
        <v>106</v>
      </c>
    </row>
    <row r="26" spans="1:20" ht="27.6" customHeight="1" x14ac:dyDescent="0.2">
      <c r="A26" s="13">
        <v>12</v>
      </c>
      <c r="B26" s="11"/>
      <c r="C26" s="195" t="s">
        <v>712</v>
      </c>
      <c r="D26" s="26"/>
      <c r="E26" s="203">
        <f t="shared" si="0"/>
        <v>106</v>
      </c>
      <c r="F26" s="203">
        <f t="shared" si="8"/>
        <v>106</v>
      </c>
      <c r="G26" s="205">
        <f>+G27</f>
        <v>0</v>
      </c>
      <c r="H26" s="205"/>
      <c r="I26" s="205">
        <f t="shared" si="9"/>
        <v>0</v>
      </c>
      <c r="J26" s="205"/>
      <c r="K26" s="205">
        <f t="shared" si="9"/>
        <v>106</v>
      </c>
      <c r="L26" s="205">
        <f t="shared" si="9"/>
        <v>0</v>
      </c>
      <c r="M26" s="205">
        <f t="shared" si="9"/>
        <v>0</v>
      </c>
      <c r="N26" s="205">
        <f t="shared" si="9"/>
        <v>0</v>
      </c>
      <c r="O26" s="205">
        <f t="shared" si="9"/>
        <v>0</v>
      </c>
      <c r="P26" s="205">
        <f t="shared" si="9"/>
        <v>0</v>
      </c>
      <c r="Q26" s="205">
        <f t="shared" si="9"/>
        <v>0</v>
      </c>
      <c r="R26" s="205">
        <f t="shared" si="9"/>
        <v>0</v>
      </c>
      <c r="S26" s="205">
        <f t="shared" si="9"/>
        <v>0</v>
      </c>
      <c r="T26" s="205">
        <f t="shared" si="9"/>
        <v>106</v>
      </c>
    </row>
    <row r="27" spans="1:20" ht="18.600000000000001" customHeight="1" x14ac:dyDescent="0.2">
      <c r="A27" s="13">
        <v>13</v>
      </c>
      <c r="B27" s="11"/>
      <c r="C27" s="109" t="s">
        <v>534</v>
      </c>
      <c r="D27" s="26" t="s">
        <v>209</v>
      </c>
      <c r="E27" s="77">
        <f t="shared" si="0"/>
        <v>106</v>
      </c>
      <c r="F27" s="77">
        <f t="shared" si="8"/>
        <v>106</v>
      </c>
      <c r="G27" s="205">
        <f>+G28</f>
        <v>0</v>
      </c>
      <c r="H27" s="205"/>
      <c r="I27" s="205">
        <f>+I28</f>
        <v>0</v>
      </c>
      <c r="J27" s="205"/>
      <c r="K27" s="205">
        <f>+K28</f>
        <v>106</v>
      </c>
      <c r="L27" s="205">
        <f t="shared" si="9"/>
        <v>0</v>
      </c>
      <c r="M27" s="205">
        <f t="shared" si="9"/>
        <v>0</v>
      </c>
      <c r="N27" s="205">
        <f t="shared" si="9"/>
        <v>0</v>
      </c>
      <c r="O27" s="205">
        <f t="shared" si="9"/>
        <v>0</v>
      </c>
      <c r="P27" s="205">
        <f t="shared" si="9"/>
        <v>0</v>
      </c>
      <c r="Q27" s="205">
        <f t="shared" si="9"/>
        <v>0</v>
      </c>
      <c r="R27" s="205">
        <f t="shared" si="9"/>
        <v>0</v>
      </c>
      <c r="S27" s="205">
        <f t="shared" si="9"/>
        <v>0</v>
      </c>
      <c r="T27" s="205">
        <f t="shared" si="9"/>
        <v>106</v>
      </c>
    </row>
    <row r="28" spans="1:20" ht="38.25" x14ac:dyDescent="0.2">
      <c r="A28" s="13" t="s">
        <v>556</v>
      </c>
      <c r="B28" s="11"/>
      <c r="C28" s="109" t="s">
        <v>720</v>
      </c>
      <c r="D28" s="26"/>
      <c r="E28" s="77">
        <f t="shared" si="0"/>
        <v>106</v>
      </c>
      <c r="F28" s="77">
        <f t="shared" si="8"/>
        <v>106</v>
      </c>
      <c r="G28" s="77"/>
      <c r="H28" s="77"/>
      <c r="I28" s="77"/>
      <c r="J28" s="77"/>
      <c r="K28" s="77">
        <v>106</v>
      </c>
      <c r="L28" s="22">
        <f t="shared" si="3"/>
        <v>0</v>
      </c>
      <c r="M28" s="22"/>
      <c r="N28" s="22"/>
      <c r="P28" s="157">
        <f t="shared" si="4"/>
        <v>0</v>
      </c>
      <c r="Q28" s="157"/>
      <c r="R28" s="157"/>
      <c r="S28" s="157"/>
      <c r="T28" s="17">
        <v>106</v>
      </c>
    </row>
    <row r="29" spans="1:20" ht="25.5" x14ac:dyDescent="0.2">
      <c r="A29" s="13">
        <v>14</v>
      </c>
      <c r="B29" s="11" t="s">
        <v>326</v>
      </c>
      <c r="C29" s="206" t="s">
        <v>327</v>
      </c>
      <c r="D29" s="26"/>
      <c r="E29" s="126">
        <f t="shared" si="0"/>
        <v>2621.9</v>
      </c>
      <c r="F29" s="126">
        <f t="shared" si="8"/>
        <v>2615.1000000000004</v>
      </c>
      <c r="G29" s="126">
        <f>+G30+G32+G37</f>
        <v>949.3</v>
      </c>
      <c r="H29" s="126">
        <f>+H30+H32+H37</f>
        <v>948</v>
      </c>
      <c r="I29" s="126">
        <f>+I30+I32+I37</f>
        <v>0</v>
      </c>
      <c r="J29" s="126">
        <f>+J30+J32+J37</f>
        <v>0</v>
      </c>
      <c r="K29" s="126">
        <f>+K30+K32+K37</f>
        <v>1672.6000000000001</v>
      </c>
      <c r="L29" s="126">
        <f t="shared" ref="L29:T29" si="10">+L30+L32+L37</f>
        <v>0</v>
      </c>
      <c r="M29" s="126">
        <f t="shared" si="10"/>
        <v>-25</v>
      </c>
      <c r="N29" s="126">
        <f t="shared" si="10"/>
        <v>0</v>
      </c>
      <c r="O29" s="126">
        <f t="shared" si="10"/>
        <v>25</v>
      </c>
      <c r="P29" s="126">
        <f t="shared" si="10"/>
        <v>47.9</v>
      </c>
      <c r="Q29" s="126">
        <f t="shared" si="10"/>
        <v>0</v>
      </c>
      <c r="R29" s="126">
        <f t="shared" si="10"/>
        <v>0</v>
      </c>
      <c r="S29" s="126">
        <f t="shared" si="10"/>
        <v>47.9</v>
      </c>
      <c r="T29" s="126">
        <f t="shared" si="10"/>
        <v>1667.1000000000001</v>
      </c>
    </row>
    <row r="30" spans="1:20" ht="38.25" x14ac:dyDescent="0.2">
      <c r="A30" s="13">
        <v>15</v>
      </c>
      <c r="B30" s="11"/>
      <c r="C30" s="195" t="s">
        <v>721</v>
      </c>
      <c r="D30" s="26"/>
      <c r="E30" s="203">
        <f t="shared" si="0"/>
        <v>2114.6</v>
      </c>
      <c r="F30" s="203">
        <f t="shared" si="8"/>
        <v>2108.1999999999998</v>
      </c>
      <c r="G30" s="203">
        <f>+G31</f>
        <v>860.9</v>
      </c>
      <c r="H30" s="203">
        <f>+H31</f>
        <v>859.7</v>
      </c>
      <c r="I30" s="205">
        <f>+I31</f>
        <v>0</v>
      </c>
      <c r="J30" s="205"/>
      <c r="K30" s="203">
        <f>+K31</f>
        <v>1253.7</v>
      </c>
      <c r="L30" s="203">
        <f t="shared" ref="L30:T30" si="11">+L31</f>
        <v>0</v>
      </c>
      <c r="M30" s="203">
        <f t="shared" si="11"/>
        <v>0</v>
      </c>
      <c r="N30" s="203">
        <f t="shared" si="11"/>
        <v>0</v>
      </c>
      <c r="O30" s="203">
        <f t="shared" si="11"/>
        <v>0</v>
      </c>
      <c r="P30" s="203">
        <f t="shared" si="11"/>
        <v>0</v>
      </c>
      <c r="Q30" s="203">
        <f t="shared" si="11"/>
        <v>0</v>
      </c>
      <c r="R30" s="203">
        <f t="shared" si="11"/>
        <v>0</v>
      </c>
      <c r="S30" s="203">
        <f t="shared" si="11"/>
        <v>0</v>
      </c>
      <c r="T30" s="203">
        <f t="shared" si="11"/>
        <v>1248.5</v>
      </c>
    </row>
    <row r="31" spans="1:20" x14ac:dyDescent="0.2">
      <c r="A31" s="13">
        <v>16</v>
      </c>
      <c r="B31" s="11"/>
      <c r="C31" s="109" t="s">
        <v>61</v>
      </c>
      <c r="D31" s="26" t="s">
        <v>318</v>
      </c>
      <c r="E31" s="77">
        <f t="shared" si="0"/>
        <v>2114.6</v>
      </c>
      <c r="F31" s="77">
        <f t="shared" si="8"/>
        <v>2108.1999999999998</v>
      </c>
      <c r="G31" s="77">
        <f>846.6+14.3</f>
        <v>860.9</v>
      </c>
      <c r="H31" s="77">
        <v>859.7</v>
      </c>
      <c r="I31" s="77"/>
      <c r="J31" s="77"/>
      <c r="K31" s="77">
        <f>1268-14.3</f>
        <v>1253.7</v>
      </c>
      <c r="L31" s="22">
        <f t="shared" si="3"/>
        <v>0</v>
      </c>
      <c r="M31" s="22"/>
      <c r="N31" s="22"/>
      <c r="P31" s="157">
        <f t="shared" si="4"/>
        <v>0</v>
      </c>
      <c r="Q31" s="157"/>
      <c r="R31" s="157"/>
      <c r="S31" s="157"/>
      <c r="T31" s="17">
        <v>1248.5</v>
      </c>
    </row>
    <row r="32" spans="1:20" ht="29.45" customHeight="1" x14ac:dyDescent="0.2">
      <c r="A32" s="13">
        <v>17</v>
      </c>
      <c r="B32" s="11"/>
      <c r="C32" s="185" t="s">
        <v>712</v>
      </c>
      <c r="D32" s="26"/>
      <c r="E32" s="203">
        <f t="shared" ref="E32:E44" si="12">+G32+K32</f>
        <v>263.39999999999998</v>
      </c>
      <c r="F32" s="203">
        <f t="shared" si="8"/>
        <v>263.2</v>
      </c>
      <c r="G32" s="203">
        <f>+G33</f>
        <v>88.4</v>
      </c>
      <c r="H32" s="203">
        <f>+H33</f>
        <v>88.3</v>
      </c>
      <c r="I32" s="203">
        <f>+I33</f>
        <v>0</v>
      </c>
      <c r="J32" s="203">
        <f>+J33</f>
        <v>0</v>
      </c>
      <c r="K32" s="203">
        <f>+K33</f>
        <v>175</v>
      </c>
      <c r="L32" s="203">
        <f t="shared" ref="L32:T32" si="13">+L33</f>
        <v>0</v>
      </c>
      <c r="M32" s="203">
        <f t="shared" si="13"/>
        <v>-25</v>
      </c>
      <c r="N32" s="203">
        <f t="shared" si="13"/>
        <v>0</v>
      </c>
      <c r="O32" s="203">
        <f t="shared" si="13"/>
        <v>25</v>
      </c>
      <c r="P32" s="203">
        <f t="shared" si="13"/>
        <v>0</v>
      </c>
      <c r="Q32" s="203">
        <f t="shared" si="13"/>
        <v>0</v>
      </c>
      <c r="R32" s="203">
        <f t="shared" si="13"/>
        <v>0</v>
      </c>
      <c r="S32" s="203">
        <f t="shared" si="13"/>
        <v>0</v>
      </c>
      <c r="T32" s="203">
        <f t="shared" si="13"/>
        <v>174.9</v>
      </c>
    </row>
    <row r="33" spans="1:20" ht="17.45" customHeight="1" x14ac:dyDescent="0.2">
      <c r="A33" s="13">
        <v>18</v>
      </c>
      <c r="B33" s="11"/>
      <c r="C33" s="138" t="s">
        <v>59</v>
      </c>
      <c r="D33" s="26" t="s">
        <v>318</v>
      </c>
      <c r="E33" s="77">
        <f t="shared" si="12"/>
        <v>263.39999999999998</v>
      </c>
      <c r="F33" s="77">
        <f t="shared" si="8"/>
        <v>263.2</v>
      </c>
      <c r="G33" s="77">
        <f>+G34+G35+G36</f>
        <v>88.4</v>
      </c>
      <c r="H33" s="77">
        <f>+H34+H35+H36</f>
        <v>88.3</v>
      </c>
      <c r="I33" s="77">
        <f>+I34+I35+I36</f>
        <v>0</v>
      </c>
      <c r="J33" s="77">
        <f>+J34+J35+J36</f>
        <v>0</v>
      </c>
      <c r="K33" s="77">
        <f>+K34+K35+K36</f>
        <v>175</v>
      </c>
      <c r="L33" s="77">
        <f t="shared" ref="L33:T33" si="14">+L34+L35+L36</f>
        <v>0</v>
      </c>
      <c r="M33" s="77">
        <f t="shared" si="14"/>
        <v>-25</v>
      </c>
      <c r="N33" s="77">
        <f t="shared" si="14"/>
        <v>0</v>
      </c>
      <c r="O33" s="77">
        <f t="shared" si="14"/>
        <v>25</v>
      </c>
      <c r="P33" s="77">
        <f t="shared" si="14"/>
        <v>0</v>
      </c>
      <c r="Q33" s="77">
        <f t="shared" si="14"/>
        <v>0</v>
      </c>
      <c r="R33" s="77">
        <f t="shared" si="14"/>
        <v>0</v>
      </c>
      <c r="S33" s="77">
        <f t="shared" si="14"/>
        <v>0</v>
      </c>
      <c r="T33" s="77">
        <f t="shared" si="14"/>
        <v>174.9</v>
      </c>
    </row>
    <row r="34" spans="1:20" ht="25.5" x14ac:dyDescent="0.2">
      <c r="A34" s="13" t="s">
        <v>574</v>
      </c>
      <c r="B34" s="11"/>
      <c r="C34" s="138" t="s">
        <v>722</v>
      </c>
      <c r="D34" s="26"/>
      <c r="E34" s="77">
        <f t="shared" si="12"/>
        <v>175</v>
      </c>
      <c r="F34" s="77">
        <f t="shared" si="8"/>
        <v>174.9</v>
      </c>
      <c r="G34" s="77"/>
      <c r="H34" s="77"/>
      <c r="I34" s="77"/>
      <c r="J34" s="77"/>
      <c r="K34" s="77">
        <f>150+25</f>
        <v>175</v>
      </c>
      <c r="L34" s="22">
        <f t="shared" si="3"/>
        <v>25</v>
      </c>
      <c r="M34" s="22"/>
      <c r="N34" s="22"/>
      <c r="O34" s="3">
        <v>25</v>
      </c>
      <c r="P34" s="157">
        <f t="shared" si="4"/>
        <v>0</v>
      </c>
      <c r="Q34" s="157"/>
      <c r="R34" s="157"/>
      <c r="S34" s="157"/>
      <c r="T34" s="17">
        <v>174.9</v>
      </c>
    </row>
    <row r="35" spans="1:20" ht="38.25" x14ac:dyDescent="0.2">
      <c r="A35" s="13" t="s">
        <v>575</v>
      </c>
      <c r="B35" s="11"/>
      <c r="C35" s="109" t="s">
        <v>723</v>
      </c>
      <c r="D35" s="26"/>
      <c r="E35" s="77">
        <f t="shared" si="12"/>
        <v>38.4</v>
      </c>
      <c r="F35" s="77">
        <f t="shared" si="8"/>
        <v>38.299999999999997</v>
      </c>
      <c r="G35" s="77">
        <f>49-10.6</f>
        <v>38.4</v>
      </c>
      <c r="H35" s="77">
        <v>38.299999999999997</v>
      </c>
      <c r="I35" s="77"/>
      <c r="J35" s="77"/>
      <c r="K35" s="77"/>
      <c r="L35" s="22">
        <f t="shared" si="3"/>
        <v>-10.6</v>
      </c>
      <c r="M35" s="22">
        <v>-10.6</v>
      </c>
      <c r="N35" s="22"/>
      <c r="P35" s="157">
        <f t="shared" si="4"/>
        <v>0</v>
      </c>
      <c r="Q35" s="157"/>
      <c r="R35" s="157"/>
      <c r="S35" s="157"/>
      <c r="T35" s="17"/>
    </row>
    <row r="36" spans="1:20" ht="38.25" x14ac:dyDescent="0.2">
      <c r="A36" s="13" t="s">
        <v>577</v>
      </c>
      <c r="B36" s="11"/>
      <c r="C36" s="109" t="s">
        <v>724</v>
      </c>
      <c r="D36" s="26"/>
      <c r="E36" s="77">
        <f t="shared" si="12"/>
        <v>50.000000000000007</v>
      </c>
      <c r="F36" s="77">
        <f t="shared" si="8"/>
        <v>50</v>
      </c>
      <c r="G36" s="77">
        <f>64.4-14.4</f>
        <v>50.000000000000007</v>
      </c>
      <c r="H36" s="77">
        <v>50</v>
      </c>
      <c r="I36" s="77"/>
      <c r="J36" s="77"/>
      <c r="K36" s="77"/>
      <c r="L36" s="22">
        <f t="shared" si="3"/>
        <v>-14.4</v>
      </c>
      <c r="M36" s="22">
        <v>-14.4</v>
      </c>
      <c r="N36" s="22"/>
      <c r="P36" s="157">
        <f t="shared" si="4"/>
        <v>0</v>
      </c>
      <c r="Q36" s="157"/>
      <c r="R36" s="157"/>
      <c r="S36" s="157"/>
      <c r="T36" s="17"/>
    </row>
    <row r="37" spans="1:20" ht="25.5" x14ac:dyDescent="0.2">
      <c r="A37" s="13">
        <v>19</v>
      </c>
      <c r="B37" s="11"/>
      <c r="C37" s="195" t="s">
        <v>725</v>
      </c>
      <c r="D37" s="26"/>
      <c r="E37" s="203">
        <f t="shared" si="12"/>
        <v>243.9</v>
      </c>
      <c r="F37" s="203">
        <f t="shared" si="8"/>
        <v>243.7</v>
      </c>
      <c r="G37" s="203">
        <f>+G38</f>
        <v>0</v>
      </c>
      <c r="H37" s="203">
        <f>+H38</f>
        <v>0</v>
      </c>
      <c r="I37" s="203">
        <f>+I38</f>
        <v>0</v>
      </c>
      <c r="J37" s="203">
        <f>+J38</f>
        <v>0</v>
      </c>
      <c r="K37" s="203">
        <f>+K38</f>
        <v>243.9</v>
      </c>
      <c r="L37" s="203">
        <f t="shared" ref="L37:T37" si="15">+L38</f>
        <v>0</v>
      </c>
      <c r="M37" s="203">
        <f t="shared" si="15"/>
        <v>0</v>
      </c>
      <c r="N37" s="203">
        <f t="shared" si="15"/>
        <v>0</v>
      </c>
      <c r="O37" s="203">
        <f t="shared" si="15"/>
        <v>0</v>
      </c>
      <c r="P37" s="203">
        <f t="shared" si="15"/>
        <v>47.9</v>
      </c>
      <c r="Q37" s="203">
        <f t="shared" si="15"/>
        <v>0</v>
      </c>
      <c r="R37" s="203">
        <f t="shared" si="15"/>
        <v>0</v>
      </c>
      <c r="S37" s="203">
        <f t="shared" si="15"/>
        <v>47.9</v>
      </c>
      <c r="T37" s="203">
        <f t="shared" si="15"/>
        <v>243.7</v>
      </c>
    </row>
    <row r="38" spans="1:20" ht="17.45" customHeight="1" x14ac:dyDescent="0.2">
      <c r="A38" s="13">
        <v>20</v>
      </c>
      <c r="B38" s="11"/>
      <c r="C38" s="109" t="s">
        <v>59</v>
      </c>
      <c r="D38" s="26" t="s">
        <v>318</v>
      </c>
      <c r="E38" s="77">
        <f t="shared" si="12"/>
        <v>243.9</v>
      </c>
      <c r="F38" s="77">
        <f t="shared" si="8"/>
        <v>243.7</v>
      </c>
      <c r="G38" s="77">
        <f>+G39+G40+G41+G42+G43</f>
        <v>0</v>
      </c>
      <c r="H38" s="77">
        <f>+H39+H40+H41+H42+H43</f>
        <v>0</v>
      </c>
      <c r="I38" s="77">
        <f>+I39+I40+I41+I42+I43</f>
        <v>0</v>
      </c>
      <c r="J38" s="77">
        <f>+J39+J40+J41+J42+J43</f>
        <v>0</v>
      </c>
      <c r="K38" s="77">
        <f>+K39+K40+K41+K42+K43</f>
        <v>243.9</v>
      </c>
      <c r="L38" s="77">
        <f t="shared" ref="L38:T38" si="16">+L39+L40+L41+L42+L43</f>
        <v>0</v>
      </c>
      <c r="M38" s="77">
        <f t="shared" si="16"/>
        <v>0</v>
      </c>
      <c r="N38" s="77">
        <f t="shared" si="16"/>
        <v>0</v>
      </c>
      <c r="O38" s="77">
        <f t="shared" si="16"/>
        <v>0</v>
      </c>
      <c r="P38" s="77">
        <f t="shared" si="16"/>
        <v>47.9</v>
      </c>
      <c r="Q38" s="77">
        <f t="shared" si="16"/>
        <v>0</v>
      </c>
      <c r="R38" s="77">
        <f t="shared" si="16"/>
        <v>0</v>
      </c>
      <c r="S38" s="77">
        <f t="shared" si="16"/>
        <v>47.9</v>
      </c>
      <c r="T38" s="77">
        <f t="shared" si="16"/>
        <v>243.7</v>
      </c>
    </row>
    <row r="39" spans="1:20" ht="25.5" x14ac:dyDescent="0.2">
      <c r="A39" s="13" t="s">
        <v>581</v>
      </c>
      <c r="B39" s="11"/>
      <c r="C39" s="109" t="s">
        <v>726</v>
      </c>
      <c r="D39" s="26"/>
      <c r="E39" s="77">
        <f t="shared" si="12"/>
        <v>24.2</v>
      </c>
      <c r="F39" s="77">
        <f t="shared" si="8"/>
        <v>24.2</v>
      </c>
      <c r="G39" s="77"/>
      <c r="H39" s="77"/>
      <c r="I39" s="77"/>
      <c r="J39" s="77"/>
      <c r="K39" s="77">
        <f>28-3.8</f>
        <v>24.2</v>
      </c>
      <c r="L39" s="22">
        <f t="shared" si="3"/>
        <v>0</v>
      </c>
      <c r="M39" s="22"/>
      <c r="N39" s="22"/>
      <c r="P39" s="157">
        <f t="shared" si="4"/>
        <v>-3.8</v>
      </c>
      <c r="Q39" s="157"/>
      <c r="R39" s="157"/>
      <c r="S39" s="157">
        <v>-3.8</v>
      </c>
      <c r="T39" s="17">
        <v>24.2</v>
      </c>
    </row>
    <row r="40" spans="1:20" ht="25.5" x14ac:dyDescent="0.2">
      <c r="A40" s="13" t="s">
        <v>582</v>
      </c>
      <c r="B40" s="11"/>
      <c r="C40" s="109" t="s">
        <v>727</v>
      </c>
      <c r="D40" s="26"/>
      <c r="E40" s="77">
        <f t="shared" si="12"/>
        <v>51.2</v>
      </c>
      <c r="F40" s="77">
        <f t="shared" si="8"/>
        <v>51.2</v>
      </c>
      <c r="G40" s="77"/>
      <c r="H40" s="77"/>
      <c r="I40" s="77"/>
      <c r="J40" s="77"/>
      <c r="K40" s="77">
        <f>59-7.8</f>
        <v>51.2</v>
      </c>
      <c r="L40" s="22">
        <f t="shared" si="3"/>
        <v>0</v>
      </c>
      <c r="M40" s="22"/>
      <c r="N40" s="22"/>
      <c r="P40" s="157">
        <f t="shared" si="4"/>
        <v>-7.8</v>
      </c>
      <c r="Q40" s="157"/>
      <c r="R40" s="157"/>
      <c r="S40" s="157">
        <v>-7.8</v>
      </c>
      <c r="T40" s="17">
        <v>51.2</v>
      </c>
    </row>
    <row r="41" spans="1:20" ht="25.5" x14ac:dyDescent="0.2">
      <c r="A41" s="13" t="s">
        <v>583</v>
      </c>
      <c r="B41" s="11"/>
      <c r="C41" s="109" t="s">
        <v>728</v>
      </c>
      <c r="D41" s="26"/>
      <c r="E41" s="77">
        <f t="shared" si="12"/>
        <v>43</v>
      </c>
      <c r="F41" s="77">
        <f t="shared" si="8"/>
        <v>43</v>
      </c>
      <c r="G41" s="77"/>
      <c r="H41" s="77"/>
      <c r="I41" s="77"/>
      <c r="J41" s="77"/>
      <c r="K41" s="77">
        <f>49-6</f>
        <v>43</v>
      </c>
      <c r="L41" s="22">
        <f t="shared" si="3"/>
        <v>0</v>
      </c>
      <c r="M41" s="22"/>
      <c r="N41" s="22"/>
      <c r="P41" s="157">
        <f t="shared" si="4"/>
        <v>-6</v>
      </c>
      <c r="Q41" s="157"/>
      <c r="R41" s="157"/>
      <c r="S41" s="157">
        <v>-6</v>
      </c>
      <c r="T41" s="17">
        <v>43</v>
      </c>
    </row>
    <row r="42" spans="1:20" ht="25.5" x14ac:dyDescent="0.2">
      <c r="A42" s="13" t="s">
        <v>584</v>
      </c>
      <c r="B42" s="11"/>
      <c r="C42" s="109" t="s">
        <v>729</v>
      </c>
      <c r="D42" s="26"/>
      <c r="E42" s="77">
        <f t="shared" si="12"/>
        <v>20</v>
      </c>
      <c r="F42" s="77">
        <f t="shared" si="8"/>
        <v>20</v>
      </c>
      <c r="G42" s="77"/>
      <c r="H42" s="77"/>
      <c r="I42" s="77"/>
      <c r="J42" s="77"/>
      <c r="K42" s="77">
        <v>20</v>
      </c>
      <c r="L42" s="22">
        <f t="shared" si="3"/>
        <v>0</v>
      </c>
      <c r="M42" s="22"/>
      <c r="N42" s="22"/>
      <c r="P42" s="157">
        <f t="shared" si="4"/>
        <v>0</v>
      </c>
      <c r="Q42" s="157"/>
      <c r="R42" s="157"/>
      <c r="S42" s="157"/>
      <c r="T42" s="17">
        <v>20</v>
      </c>
    </row>
    <row r="43" spans="1:20" ht="39" customHeight="1" x14ac:dyDescent="0.2">
      <c r="A43" s="13" t="s">
        <v>730</v>
      </c>
      <c r="B43" s="11"/>
      <c r="C43" s="109" t="s">
        <v>731</v>
      </c>
      <c r="D43" s="26"/>
      <c r="E43" s="77">
        <f t="shared" si="12"/>
        <v>105.5</v>
      </c>
      <c r="F43" s="77">
        <f t="shared" si="8"/>
        <v>105.3</v>
      </c>
      <c r="G43" s="77"/>
      <c r="H43" s="77"/>
      <c r="I43" s="77"/>
      <c r="J43" s="77"/>
      <c r="K43" s="77">
        <f>40+65.5</f>
        <v>105.5</v>
      </c>
      <c r="L43" s="22">
        <f t="shared" si="3"/>
        <v>0</v>
      </c>
      <c r="M43" s="22"/>
      <c r="N43" s="22"/>
      <c r="P43" s="157">
        <f t="shared" si="4"/>
        <v>65.5</v>
      </c>
      <c r="Q43" s="157"/>
      <c r="R43" s="157"/>
      <c r="S43" s="157">
        <v>65.5</v>
      </c>
      <c r="T43" s="17">
        <v>105.3</v>
      </c>
    </row>
    <row r="44" spans="1:20" x14ac:dyDescent="0.2">
      <c r="A44" s="13">
        <v>21</v>
      </c>
      <c r="B44" s="11"/>
      <c r="C44" s="131" t="s">
        <v>491</v>
      </c>
      <c r="D44" s="16"/>
      <c r="E44" s="126">
        <f t="shared" si="12"/>
        <v>3389.9000000000005</v>
      </c>
      <c r="F44" s="207">
        <f t="shared" si="8"/>
        <v>3380.2</v>
      </c>
      <c r="G44" s="126">
        <f>+G12+G21+G25+G29</f>
        <v>1499.9</v>
      </c>
      <c r="H44" s="126">
        <f>+H12+H21+H25+H29</f>
        <v>1495.6999999999998</v>
      </c>
      <c r="I44" s="126">
        <f>+I12+I21+I25+I29</f>
        <v>442.09999999999997</v>
      </c>
      <c r="J44" s="126">
        <f>+J12+J21+J25+J29</f>
        <v>439.3</v>
      </c>
      <c r="K44" s="126">
        <f>+K12+K21+K25+K29</f>
        <v>1890.0000000000002</v>
      </c>
      <c r="L44" s="126">
        <f t="shared" ref="L44:T44" si="17">+L12+L21+L25+L29</f>
        <v>45</v>
      </c>
      <c r="M44" s="126">
        <f t="shared" si="17"/>
        <v>20</v>
      </c>
      <c r="N44" s="126">
        <f t="shared" si="17"/>
        <v>39.200000000000003</v>
      </c>
      <c r="O44" s="126">
        <f t="shared" si="17"/>
        <v>70</v>
      </c>
      <c r="P44" s="126">
        <f t="shared" si="17"/>
        <v>92.9</v>
      </c>
      <c r="Q44" s="126">
        <f t="shared" si="17"/>
        <v>45</v>
      </c>
      <c r="R44" s="126">
        <f t="shared" si="17"/>
        <v>45</v>
      </c>
      <c r="S44" s="126">
        <f t="shared" si="17"/>
        <v>92.9</v>
      </c>
      <c r="T44" s="126">
        <f t="shared" si="17"/>
        <v>1884.5000000000002</v>
      </c>
    </row>
    <row r="45" spans="1:20" x14ac:dyDescent="0.2">
      <c r="C45" s="171" t="s">
        <v>707</v>
      </c>
      <c r="D45" s="5"/>
      <c r="E45" s="97"/>
      <c r="F45" s="97"/>
      <c r="G45" s="97"/>
      <c r="H45" s="97"/>
      <c r="I45" s="97"/>
      <c r="J45" s="97"/>
      <c r="K45" s="97"/>
    </row>
    <row r="47" spans="1:20" hidden="1" x14ac:dyDescent="0.2">
      <c r="E47" s="97">
        <f>+G47+K47</f>
        <v>3390</v>
      </c>
      <c r="F47" s="97"/>
      <c r="G47" s="99">
        <v>1524.9</v>
      </c>
      <c r="H47" s="99"/>
      <c r="I47" s="99">
        <v>447.9</v>
      </c>
      <c r="J47" s="99"/>
      <c r="K47" s="99">
        <v>1865.1</v>
      </c>
    </row>
    <row r="48" spans="1:20" hidden="1" x14ac:dyDescent="0.2">
      <c r="E48" s="97">
        <f>+G48+K48</f>
        <v>-9.9999999999681677E-2</v>
      </c>
      <c r="F48" s="97"/>
      <c r="G48" s="99">
        <f>+G44-G47</f>
        <v>-25</v>
      </c>
      <c r="H48" s="99"/>
      <c r="I48" s="99">
        <f>+I44-I47</f>
        <v>-5.8000000000000114</v>
      </c>
      <c r="J48" s="99"/>
      <c r="K48" s="99">
        <f>+K44-K47</f>
        <v>24.900000000000318</v>
      </c>
    </row>
    <row r="49" spans="5:11" hidden="1" x14ac:dyDescent="0.2">
      <c r="E49" s="97">
        <f>+G49+K49</f>
        <v>3390</v>
      </c>
      <c r="F49" s="97"/>
      <c r="G49" s="97">
        <v>1499.9</v>
      </c>
      <c r="H49" s="97"/>
      <c r="I49" s="97">
        <v>442.1</v>
      </c>
      <c r="J49" s="97"/>
      <c r="K49" s="97">
        <v>1890.1</v>
      </c>
    </row>
    <row r="50" spans="5:11" hidden="1" x14ac:dyDescent="0.2">
      <c r="E50" s="97">
        <f>+G50+K50</f>
        <v>-9.9999999999681677E-2</v>
      </c>
      <c r="F50" s="97"/>
      <c r="G50" s="97">
        <f>+G44-G49</f>
        <v>0</v>
      </c>
      <c r="H50" s="97"/>
      <c r="I50" s="97">
        <f>+I44-I49</f>
        <v>0</v>
      </c>
      <c r="J50" s="97"/>
      <c r="K50" s="97">
        <f>+K44-K49</f>
        <v>-9.9999999999681677E-2</v>
      </c>
    </row>
  </sheetData>
  <mergeCells count="19">
    <mergeCell ref="G7:T7"/>
    <mergeCell ref="G8:J8"/>
    <mergeCell ref="K8:T8"/>
    <mergeCell ref="E9:E10"/>
    <mergeCell ref="F9:F10"/>
    <mergeCell ref="G9:H9"/>
    <mergeCell ref="I9:J9"/>
    <mergeCell ref="K9:K10"/>
    <mergeCell ref="T9:T10"/>
    <mergeCell ref="A5:K5"/>
    <mergeCell ref="I6:T6"/>
    <mergeCell ref="E3:T3"/>
    <mergeCell ref="C2:T2"/>
    <mergeCell ref="C1:T1"/>
    <mergeCell ref="A7:A10"/>
    <mergeCell ref="B7:B10"/>
    <mergeCell ref="C7:C10"/>
    <mergeCell ref="D7:D10"/>
    <mergeCell ref="E7:F8"/>
  </mergeCells>
  <pageMargins left="0.31496062992125984" right="0.11811023622047245" top="0.35433070866141736" bottom="0.35433070866141736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V65"/>
  <sheetViews>
    <sheetView workbookViewId="0">
      <selection activeCell="S12" sqref="S12"/>
    </sheetView>
  </sheetViews>
  <sheetFormatPr defaultColWidth="9.140625" defaultRowHeight="12.75" x14ac:dyDescent="0.2"/>
  <cols>
    <col min="1" max="1" width="4.7109375" style="1" customWidth="1"/>
    <col min="2" max="2" width="6" style="5" customWidth="1"/>
    <col min="3" max="3" width="49.140625" style="171" customWidth="1"/>
    <col min="4" max="4" width="10.28515625" style="2" customWidth="1"/>
    <col min="5" max="5" width="8.7109375" style="1" customWidth="1"/>
    <col min="6" max="6" width="8.42578125" style="1" customWidth="1"/>
    <col min="7" max="7" width="8.28515625" style="1" customWidth="1"/>
    <col min="8" max="8" width="8.85546875" style="1" customWidth="1"/>
    <col min="9" max="10" width="8.5703125" style="1" customWidth="1"/>
    <col min="11" max="11" width="7.7109375" style="1" customWidth="1"/>
    <col min="12" max="15" width="9.140625" style="3" hidden="1" customWidth="1"/>
    <col min="16" max="16" width="9.140625" style="2"/>
    <col min="17" max="256" width="9.140625" style="3"/>
    <col min="257" max="257" width="4.7109375" style="3" customWidth="1"/>
    <col min="258" max="258" width="6" style="3" customWidth="1"/>
    <col min="259" max="259" width="49.140625" style="3" customWidth="1"/>
    <col min="260" max="260" width="10.28515625" style="3" customWidth="1"/>
    <col min="261" max="261" width="8.7109375" style="3" customWidth="1"/>
    <col min="262" max="262" width="8.42578125" style="3" customWidth="1"/>
    <col min="263" max="263" width="8.28515625" style="3" customWidth="1"/>
    <col min="264" max="264" width="8.85546875" style="3" customWidth="1"/>
    <col min="265" max="266" width="8.5703125" style="3" customWidth="1"/>
    <col min="267" max="267" width="7.7109375" style="3" customWidth="1"/>
    <col min="268" max="271" width="0" style="3" hidden="1" customWidth="1"/>
    <col min="272" max="512" width="9.140625" style="3"/>
    <col min="513" max="513" width="4.7109375" style="3" customWidth="1"/>
    <col min="514" max="514" width="6" style="3" customWidth="1"/>
    <col min="515" max="515" width="49.140625" style="3" customWidth="1"/>
    <col min="516" max="516" width="10.28515625" style="3" customWidth="1"/>
    <col min="517" max="517" width="8.7109375" style="3" customWidth="1"/>
    <col min="518" max="518" width="8.42578125" style="3" customWidth="1"/>
    <col min="519" max="519" width="8.28515625" style="3" customWidth="1"/>
    <col min="520" max="520" width="8.85546875" style="3" customWidth="1"/>
    <col min="521" max="522" width="8.5703125" style="3" customWidth="1"/>
    <col min="523" max="523" width="7.7109375" style="3" customWidth="1"/>
    <col min="524" max="527" width="0" style="3" hidden="1" customWidth="1"/>
    <col min="528" max="768" width="9.140625" style="3"/>
    <col min="769" max="769" width="4.7109375" style="3" customWidth="1"/>
    <col min="770" max="770" width="6" style="3" customWidth="1"/>
    <col min="771" max="771" width="49.140625" style="3" customWidth="1"/>
    <col min="772" max="772" width="10.28515625" style="3" customWidth="1"/>
    <col min="773" max="773" width="8.7109375" style="3" customWidth="1"/>
    <col min="774" max="774" width="8.42578125" style="3" customWidth="1"/>
    <col min="775" max="775" width="8.28515625" style="3" customWidth="1"/>
    <col min="776" max="776" width="8.85546875" style="3" customWidth="1"/>
    <col min="777" max="778" width="8.5703125" style="3" customWidth="1"/>
    <col min="779" max="779" width="7.7109375" style="3" customWidth="1"/>
    <col min="780" max="783" width="0" style="3" hidden="1" customWidth="1"/>
    <col min="784" max="1024" width="9.140625" style="3"/>
    <col min="1025" max="1025" width="4.7109375" style="3" customWidth="1"/>
    <col min="1026" max="1026" width="6" style="3" customWidth="1"/>
    <col min="1027" max="1027" width="49.140625" style="3" customWidth="1"/>
    <col min="1028" max="1028" width="10.28515625" style="3" customWidth="1"/>
    <col min="1029" max="1029" width="8.7109375" style="3" customWidth="1"/>
    <col min="1030" max="1030" width="8.42578125" style="3" customWidth="1"/>
    <col min="1031" max="1031" width="8.28515625" style="3" customWidth="1"/>
    <col min="1032" max="1032" width="8.85546875" style="3" customWidth="1"/>
    <col min="1033" max="1034" width="8.5703125" style="3" customWidth="1"/>
    <col min="1035" max="1035" width="7.7109375" style="3" customWidth="1"/>
    <col min="1036" max="1039" width="0" style="3" hidden="1" customWidth="1"/>
    <col min="1040" max="1280" width="9.140625" style="3"/>
    <col min="1281" max="1281" width="4.7109375" style="3" customWidth="1"/>
    <col min="1282" max="1282" width="6" style="3" customWidth="1"/>
    <col min="1283" max="1283" width="49.140625" style="3" customWidth="1"/>
    <col min="1284" max="1284" width="10.28515625" style="3" customWidth="1"/>
    <col min="1285" max="1285" width="8.7109375" style="3" customWidth="1"/>
    <col min="1286" max="1286" width="8.42578125" style="3" customWidth="1"/>
    <col min="1287" max="1287" width="8.28515625" style="3" customWidth="1"/>
    <col min="1288" max="1288" width="8.85546875" style="3" customWidth="1"/>
    <col min="1289" max="1290" width="8.5703125" style="3" customWidth="1"/>
    <col min="1291" max="1291" width="7.7109375" style="3" customWidth="1"/>
    <col min="1292" max="1295" width="0" style="3" hidden="1" customWidth="1"/>
    <col min="1296" max="1536" width="9.140625" style="3"/>
    <col min="1537" max="1537" width="4.7109375" style="3" customWidth="1"/>
    <col min="1538" max="1538" width="6" style="3" customWidth="1"/>
    <col min="1539" max="1539" width="49.140625" style="3" customWidth="1"/>
    <col min="1540" max="1540" width="10.28515625" style="3" customWidth="1"/>
    <col min="1541" max="1541" width="8.7109375" style="3" customWidth="1"/>
    <col min="1542" max="1542" width="8.42578125" style="3" customWidth="1"/>
    <col min="1543" max="1543" width="8.28515625" style="3" customWidth="1"/>
    <col min="1544" max="1544" width="8.85546875" style="3" customWidth="1"/>
    <col min="1545" max="1546" width="8.5703125" style="3" customWidth="1"/>
    <col min="1547" max="1547" width="7.7109375" style="3" customWidth="1"/>
    <col min="1548" max="1551" width="0" style="3" hidden="1" customWidth="1"/>
    <col min="1552" max="1792" width="9.140625" style="3"/>
    <col min="1793" max="1793" width="4.7109375" style="3" customWidth="1"/>
    <col min="1794" max="1794" width="6" style="3" customWidth="1"/>
    <col min="1795" max="1795" width="49.140625" style="3" customWidth="1"/>
    <col min="1796" max="1796" width="10.28515625" style="3" customWidth="1"/>
    <col min="1797" max="1797" width="8.7109375" style="3" customWidth="1"/>
    <col min="1798" max="1798" width="8.42578125" style="3" customWidth="1"/>
    <col min="1799" max="1799" width="8.28515625" style="3" customWidth="1"/>
    <col min="1800" max="1800" width="8.85546875" style="3" customWidth="1"/>
    <col min="1801" max="1802" width="8.5703125" style="3" customWidth="1"/>
    <col min="1803" max="1803" width="7.7109375" style="3" customWidth="1"/>
    <col min="1804" max="1807" width="0" style="3" hidden="1" customWidth="1"/>
    <col min="1808" max="2048" width="9.140625" style="3"/>
    <col min="2049" max="2049" width="4.7109375" style="3" customWidth="1"/>
    <col min="2050" max="2050" width="6" style="3" customWidth="1"/>
    <col min="2051" max="2051" width="49.140625" style="3" customWidth="1"/>
    <col min="2052" max="2052" width="10.28515625" style="3" customWidth="1"/>
    <col min="2053" max="2053" width="8.7109375" style="3" customWidth="1"/>
    <col min="2054" max="2054" width="8.42578125" style="3" customWidth="1"/>
    <col min="2055" max="2055" width="8.28515625" style="3" customWidth="1"/>
    <col min="2056" max="2056" width="8.85546875" style="3" customWidth="1"/>
    <col min="2057" max="2058" width="8.5703125" style="3" customWidth="1"/>
    <col min="2059" max="2059" width="7.7109375" style="3" customWidth="1"/>
    <col min="2060" max="2063" width="0" style="3" hidden="1" customWidth="1"/>
    <col min="2064" max="2304" width="9.140625" style="3"/>
    <col min="2305" max="2305" width="4.7109375" style="3" customWidth="1"/>
    <col min="2306" max="2306" width="6" style="3" customWidth="1"/>
    <col min="2307" max="2307" width="49.140625" style="3" customWidth="1"/>
    <col min="2308" max="2308" width="10.28515625" style="3" customWidth="1"/>
    <col min="2309" max="2309" width="8.7109375" style="3" customWidth="1"/>
    <col min="2310" max="2310" width="8.42578125" style="3" customWidth="1"/>
    <col min="2311" max="2311" width="8.28515625" style="3" customWidth="1"/>
    <col min="2312" max="2312" width="8.85546875" style="3" customWidth="1"/>
    <col min="2313" max="2314" width="8.5703125" style="3" customWidth="1"/>
    <col min="2315" max="2315" width="7.7109375" style="3" customWidth="1"/>
    <col min="2316" max="2319" width="0" style="3" hidden="1" customWidth="1"/>
    <col min="2320" max="2560" width="9.140625" style="3"/>
    <col min="2561" max="2561" width="4.7109375" style="3" customWidth="1"/>
    <col min="2562" max="2562" width="6" style="3" customWidth="1"/>
    <col min="2563" max="2563" width="49.140625" style="3" customWidth="1"/>
    <col min="2564" max="2564" width="10.28515625" style="3" customWidth="1"/>
    <col min="2565" max="2565" width="8.7109375" style="3" customWidth="1"/>
    <col min="2566" max="2566" width="8.42578125" style="3" customWidth="1"/>
    <col min="2567" max="2567" width="8.28515625" style="3" customWidth="1"/>
    <col min="2568" max="2568" width="8.85546875" style="3" customWidth="1"/>
    <col min="2569" max="2570" width="8.5703125" style="3" customWidth="1"/>
    <col min="2571" max="2571" width="7.7109375" style="3" customWidth="1"/>
    <col min="2572" max="2575" width="0" style="3" hidden="1" customWidth="1"/>
    <col min="2576" max="2816" width="9.140625" style="3"/>
    <col min="2817" max="2817" width="4.7109375" style="3" customWidth="1"/>
    <col min="2818" max="2818" width="6" style="3" customWidth="1"/>
    <col min="2819" max="2819" width="49.140625" style="3" customWidth="1"/>
    <col min="2820" max="2820" width="10.28515625" style="3" customWidth="1"/>
    <col min="2821" max="2821" width="8.7109375" style="3" customWidth="1"/>
    <col min="2822" max="2822" width="8.42578125" style="3" customWidth="1"/>
    <col min="2823" max="2823" width="8.28515625" style="3" customWidth="1"/>
    <col min="2824" max="2824" width="8.85546875" style="3" customWidth="1"/>
    <col min="2825" max="2826" width="8.5703125" style="3" customWidth="1"/>
    <col min="2827" max="2827" width="7.7109375" style="3" customWidth="1"/>
    <col min="2828" max="2831" width="0" style="3" hidden="1" customWidth="1"/>
    <col min="2832" max="3072" width="9.140625" style="3"/>
    <col min="3073" max="3073" width="4.7109375" style="3" customWidth="1"/>
    <col min="3074" max="3074" width="6" style="3" customWidth="1"/>
    <col min="3075" max="3075" width="49.140625" style="3" customWidth="1"/>
    <col min="3076" max="3076" width="10.28515625" style="3" customWidth="1"/>
    <col min="3077" max="3077" width="8.7109375" style="3" customWidth="1"/>
    <col min="3078" max="3078" width="8.42578125" style="3" customWidth="1"/>
    <col min="3079" max="3079" width="8.28515625" style="3" customWidth="1"/>
    <col min="3080" max="3080" width="8.85546875" style="3" customWidth="1"/>
    <col min="3081" max="3082" width="8.5703125" style="3" customWidth="1"/>
    <col min="3083" max="3083" width="7.7109375" style="3" customWidth="1"/>
    <col min="3084" max="3087" width="0" style="3" hidden="1" customWidth="1"/>
    <col min="3088" max="3328" width="9.140625" style="3"/>
    <col min="3329" max="3329" width="4.7109375" style="3" customWidth="1"/>
    <col min="3330" max="3330" width="6" style="3" customWidth="1"/>
    <col min="3331" max="3331" width="49.140625" style="3" customWidth="1"/>
    <col min="3332" max="3332" width="10.28515625" style="3" customWidth="1"/>
    <col min="3333" max="3333" width="8.7109375" style="3" customWidth="1"/>
    <col min="3334" max="3334" width="8.42578125" style="3" customWidth="1"/>
    <col min="3335" max="3335" width="8.28515625" style="3" customWidth="1"/>
    <col min="3336" max="3336" width="8.85546875" style="3" customWidth="1"/>
    <col min="3337" max="3338" width="8.5703125" style="3" customWidth="1"/>
    <col min="3339" max="3339" width="7.7109375" style="3" customWidth="1"/>
    <col min="3340" max="3343" width="0" style="3" hidden="1" customWidth="1"/>
    <col min="3344" max="3584" width="9.140625" style="3"/>
    <col min="3585" max="3585" width="4.7109375" style="3" customWidth="1"/>
    <col min="3586" max="3586" width="6" style="3" customWidth="1"/>
    <col min="3587" max="3587" width="49.140625" style="3" customWidth="1"/>
    <col min="3588" max="3588" width="10.28515625" style="3" customWidth="1"/>
    <col min="3589" max="3589" width="8.7109375" style="3" customWidth="1"/>
    <col min="3590" max="3590" width="8.42578125" style="3" customWidth="1"/>
    <col min="3591" max="3591" width="8.28515625" style="3" customWidth="1"/>
    <col min="3592" max="3592" width="8.85546875" style="3" customWidth="1"/>
    <col min="3593" max="3594" width="8.5703125" style="3" customWidth="1"/>
    <col min="3595" max="3595" width="7.7109375" style="3" customWidth="1"/>
    <col min="3596" max="3599" width="0" style="3" hidden="1" customWidth="1"/>
    <col min="3600" max="3840" width="9.140625" style="3"/>
    <col min="3841" max="3841" width="4.7109375" style="3" customWidth="1"/>
    <col min="3842" max="3842" width="6" style="3" customWidth="1"/>
    <col min="3843" max="3843" width="49.140625" style="3" customWidth="1"/>
    <col min="3844" max="3844" width="10.28515625" style="3" customWidth="1"/>
    <col min="3845" max="3845" width="8.7109375" style="3" customWidth="1"/>
    <col min="3846" max="3846" width="8.42578125" style="3" customWidth="1"/>
    <col min="3847" max="3847" width="8.28515625" style="3" customWidth="1"/>
    <col min="3848" max="3848" width="8.85546875" style="3" customWidth="1"/>
    <col min="3849" max="3850" width="8.5703125" style="3" customWidth="1"/>
    <col min="3851" max="3851" width="7.7109375" style="3" customWidth="1"/>
    <col min="3852" max="3855" width="0" style="3" hidden="1" customWidth="1"/>
    <col min="3856" max="4096" width="9.140625" style="3"/>
    <col min="4097" max="4097" width="4.7109375" style="3" customWidth="1"/>
    <col min="4098" max="4098" width="6" style="3" customWidth="1"/>
    <col min="4099" max="4099" width="49.140625" style="3" customWidth="1"/>
    <col min="4100" max="4100" width="10.28515625" style="3" customWidth="1"/>
    <col min="4101" max="4101" width="8.7109375" style="3" customWidth="1"/>
    <col min="4102" max="4102" width="8.42578125" style="3" customWidth="1"/>
    <col min="4103" max="4103" width="8.28515625" style="3" customWidth="1"/>
    <col min="4104" max="4104" width="8.85546875" style="3" customWidth="1"/>
    <col min="4105" max="4106" width="8.5703125" style="3" customWidth="1"/>
    <col min="4107" max="4107" width="7.7109375" style="3" customWidth="1"/>
    <col min="4108" max="4111" width="0" style="3" hidden="1" customWidth="1"/>
    <col min="4112" max="4352" width="9.140625" style="3"/>
    <col min="4353" max="4353" width="4.7109375" style="3" customWidth="1"/>
    <col min="4354" max="4354" width="6" style="3" customWidth="1"/>
    <col min="4355" max="4355" width="49.140625" style="3" customWidth="1"/>
    <col min="4356" max="4356" width="10.28515625" style="3" customWidth="1"/>
    <col min="4357" max="4357" width="8.7109375" style="3" customWidth="1"/>
    <col min="4358" max="4358" width="8.42578125" style="3" customWidth="1"/>
    <col min="4359" max="4359" width="8.28515625" style="3" customWidth="1"/>
    <col min="4360" max="4360" width="8.85546875" style="3" customWidth="1"/>
    <col min="4361" max="4362" width="8.5703125" style="3" customWidth="1"/>
    <col min="4363" max="4363" width="7.7109375" style="3" customWidth="1"/>
    <col min="4364" max="4367" width="0" style="3" hidden="1" customWidth="1"/>
    <col min="4368" max="4608" width="9.140625" style="3"/>
    <col min="4609" max="4609" width="4.7109375" style="3" customWidth="1"/>
    <col min="4610" max="4610" width="6" style="3" customWidth="1"/>
    <col min="4611" max="4611" width="49.140625" style="3" customWidth="1"/>
    <col min="4612" max="4612" width="10.28515625" style="3" customWidth="1"/>
    <col min="4613" max="4613" width="8.7109375" style="3" customWidth="1"/>
    <col min="4614" max="4614" width="8.42578125" style="3" customWidth="1"/>
    <col min="4615" max="4615" width="8.28515625" style="3" customWidth="1"/>
    <col min="4616" max="4616" width="8.85546875" style="3" customWidth="1"/>
    <col min="4617" max="4618" width="8.5703125" style="3" customWidth="1"/>
    <col min="4619" max="4619" width="7.7109375" style="3" customWidth="1"/>
    <col min="4620" max="4623" width="0" style="3" hidden="1" customWidth="1"/>
    <col min="4624" max="4864" width="9.140625" style="3"/>
    <col min="4865" max="4865" width="4.7109375" style="3" customWidth="1"/>
    <col min="4866" max="4866" width="6" style="3" customWidth="1"/>
    <col min="4867" max="4867" width="49.140625" style="3" customWidth="1"/>
    <col min="4868" max="4868" width="10.28515625" style="3" customWidth="1"/>
    <col min="4869" max="4869" width="8.7109375" style="3" customWidth="1"/>
    <col min="4870" max="4870" width="8.42578125" style="3" customWidth="1"/>
    <col min="4871" max="4871" width="8.28515625" style="3" customWidth="1"/>
    <col min="4872" max="4872" width="8.85546875" style="3" customWidth="1"/>
    <col min="4873" max="4874" width="8.5703125" style="3" customWidth="1"/>
    <col min="4875" max="4875" width="7.7109375" style="3" customWidth="1"/>
    <col min="4876" max="4879" width="0" style="3" hidden="1" customWidth="1"/>
    <col min="4880" max="5120" width="9.140625" style="3"/>
    <col min="5121" max="5121" width="4.7109375" style="3" customWidth="1"/>
    <col min="5122" max="5122" width="6" style="3" customWidth="1"/>
    <col min="5123" max="5123" width="49.140625" style="3" customWidth="1"/>
    <col min="5124" max="5124" width="10.28515625" style="3" customWidth="1"/>
    <col min="5125" max="5125" width="8.7109375" style="3" customWidth="1"/>
    <col min="5126" max="5126" width="8.42578125" style="3" customWidth="1"/>
    <col min="5127" max="5127" width="8.28515625" style="3" customWidth="1"/>
    <col min="5128" max="5128" width="8.85546875" style="3" customWidth="1"/>
    <col min="5129" max="5130" width="8.5703125" style="3" customWidth="1"/>
    <col min="5131" max="5131" width="7.7109375" style="3" customWidth="1"/>
    <col min="5132" max="5135" width="0" style="3" hidden="1" customWidth="1"/>
    <col min="5136" max="5376" width="9.140625" style="3"/>
    <col min="5377" max="5377" width="4.7109375" style="3" customWidth="1"/>
    <col min="5378" max="5378" width="6" style="3" customWidth="1"/>
    <col min="5379" max="5379" width="49.140625" style="3" customWidth="1"/>
    <col min="5380" max="5380" width="10.28515625" style="3" customWidth="1"/>
    <col min="5381" max="5381" width="8.7109375" style="3" customWidth="1"/>
    <col min="5382" max="5382" width="8.42578125" style="3" customWidth="1"/>
    <col min="5383" max="5383" width="8.28515625" style="3" customWidth="1"/>
    <col min="5384" max="5384" width="8.85546875" style="3" customWidth="1"/>
    <col min="5385" max="5386" width="8.5703125" style="3" customWidth="1"/>
    <col min="5387" max="5387" width="7.7109375" style="3" customWidth="1"/>
    <col min="5388" max="5391" width="0" style="3" hidden="1" customWidth="1"/>
    <col min="5392" max="5632" width="9.140625" style="3"/>
    <col min="5633" max="5633" width="4.7109375" style="3" customWidth="1"/>
    <col min="5634" max="5634" width="6" style="3" customWidth="1"/>
    <col min="5635" max="5635" width="49.140625" style="3" customWidth="1"/>
    <col min="5636" max="5636" width="10.28515625" style="3" customWidth="1"/>
    <col min="5637" max="5637" width="8.7109375" style="3" customWidth="1"/>
    <col min="5638" max="5638" width="8.42578125" style="3" customWidth="1"/>
    <col min="5639" max="5639" width="8.28515625" style="3" customWidth="1"/>
    <col min="5640" max="5640" width="8.85546875" style="3" customWidth="1"/>
    <col min="5641" max="5642" width="8.5703125" style="3" customWidth="1"/>
    <col min="5643" max="5643" width="7.7109375" style="3" customWidth="1"/>
    <col min="5644" max="5647" width="0" style="3" hidden="1" customWidth="1"/>
    <col min="5648" max="5888" width="9.140625" style="3"/>
    <col min="5889" max="5889" width="4.7109375" style="3" customWidth="1"/>
    <col min="5890" max="5890" width="6" style="3" customWidth="1"/>
    <col min="5891" max="5891" width="49.140625" style="3" customWidth="1"/>
    <col min="5892" max="5892" width="10.28515625" style="3" customWidth="1"/>
    <col min="5893" max="5893" width="8.7109375" style="3" customWidth="1"/>
    <col min="5894" max="5894" width="8.42578125" style="3" customWidth="1"/>
    <col min="5895" max="5895" width="8.28515625" style="3" customWidth="1"/>
    <col min="5896" max="5896" width="8.85546875" style="3" customWidth="1"/>
    <col min="5897" max="5898" width="8.5703125" style="3" customWidth="1"/>
    <col min="5899" max="5899" width="7.7109375" style="3" customWidth="1"/>
    <col min="5900" max="5903" width="0" style="3" hidden="1" customWidth="1"/>
    <col min="5904" max="6144" width="9.140625" style="3"/>
    <col min="6145" max="6145" width="4.7109375" style="3" customWidth="1"/>
    <col min="6146" max="6146" width="6" style="3" customWidth="1"/>
    <col min="6147" max="6147" width="49.140625" style="3" customWidth="1"/>
    <col min="6148" max="6148" width="10.28515625" style="3" customWidth="1"/>
    <col min="6149" max="6149" width="8.7109375" style="3" customWidth="1"/>
    <col min="6150" max="6150" width="8.42578125" style="3" customWidth="1"/>
    <col min="6151" max="6151" width="8.28515625" style="3" customWidth="1"/>
    <col min="6152" max="6152" width="8.85546875" style="3" customWidth="1"/>
    <col min="6153" max="6154" width="8.5703125" style="3" customWidth="1"/>
    <col min="6155" max="6155" width="7.7109375" style="3" customWidth="1"/>
    <col min="6156" max="6159" width="0" style="3" hidden="1" customWidth="1"/>
    <col min="6160" max="6400" width="9.140625" style="3"/>
    <col min="6401" max="6401" width="4.7109375" style="3" customWidth="1"/>
    <col min="6402" max="6402" width="6" style="3" customWidth="1"/>
    <col min="6403" max="6403" width="49.140625" style="3" customWidth="1"/>
    <col min="6404" max="6404" width="10.28515625" style="3" customWidth="1"/>
    <col min="6405" max="6405" width="8.7109375" style="3" customWidth="1"/>
    <col min="6406" max="6406" width="8.42578125" style="3" customWidth="1"/>
    <col min="6407" max="6407" width="8.28515625" style="3" customWidth="1"/>
    <col min="6408" max="6408" width="8.85546875" style="3" customWidth="1"/>
    <col min="6409" max="6410" width="8.5703125" style="3" customWidth="1"/>
    <col min="6411" max="6411" width="7.7109375" style="3" customWidth="1"/>
    <col min="6412" max="6415" width="0" style="3" hidden="1" customWidth="1"/>
    <col min="6416" max="6656" width="9.140625" style="3"/>
    <col min="6657" max="6657" width="4.7109375" style="3" customWidth="1"/>
    <col min="6658" max="6658" width="6" style="3" customWidth="1"/>
    <col min="6659" max="6659" width="49.140625" style="3" customWidth="1"/>
    <col min="6660" max="6660" width="10.28515625" style="3" customWidth="1"/>
    <col min="6661" max="6661" width="8.7109375" style="3" customWidth="1"/>
    <col min="6662" max="6662" width="8.42578125" style="3" customWidth="1"/>
    <col min="6663" max="6663" width="8.28515625" style="3" customWidth="1"/>
    <col min="6664" max="6664" width="8.85546875" style="3" customWidth="1"/>
    <col min="6665" max="6666" width="8.5703125" style="3" customWidth="1"/>
    <col min="6667" max="6667" width="7.7109375" style="3" customWidth="1"/>
    <col min="6668" max="6671" width="0" style="3" hidden="1" customWidth="1"/>
    <col min="6672" max="6912" width="9.140625" style="3"/>
    <col min="6913" max="6913" width="4.7109375" style="3" customWidth="1"/>
    <col min="6914" max="6914" width="6" style="3" customWidth="1"/>
    <col min="6915" max="6915" width="49.140625" style="3" customWidth="1"/>
    <col min="6916" max="6916" width="10.28515625" style="3" customWidth="1"/>
    <col min="6917" max="6917" width="8.7109375" style="3" customWidth="1"/>
    <col min="6918" max="6918" width="8.42578125" style="3" customWidth="1"/>
    <col min="6919" max="6919" width="8.28515625" style="3" customWidth="1"/>
    <col min="6920" max="6920" width="8.85546875" style="3" customWidth="1"/>
    <col min="6921" max="6922" width="8.5703125" style="3" customWidth="1"/>
    <col min="6923" max="6923" width="7.7109375" style="3" customWidth="1"/>
    <col min="6924" max="6927" width="0" style="3" hidden="1" customWidth="1"/>
    <col min="6928" max="7168" width="9.140625" style="3"/>
    <col min="7169" max="7169" width="4.7109375" style="3" customWidth="1"/>
    <col min="7170" max="7170" width="6" style="3" customWidth="1"/>
    <col min="7171" max="7171" width="49.140625" style="3" customWidth="1"/>
    <col min="7172" max="7172" width="10.28515625" style="3" customWidth="1"/>
    <col min="7173" max="7173" width="8.7109375" style="3" customWidth="1"/>
    <col min="7174" max="7174" width="8.42578125" style="3" customWidth="1"/>
    <col min="7175" max="7175" width="8.28515625" style="3" customWidth="1"/>
    <col min="7176" max="7176" width="8.85546875" style="3" customWidth="1"/>
    <col min="7177" max="7178" width="8.5703125" style="3" customWidth="1"/>
    <col min="7179" max="7179" width="7.7109375" style="3" customWidth="1"/>
    <col min="7180" max="7183" width="0" style="3" hidden="1" customWidth="1"/>
    <col min="7184" max="7424" width="9.140625" style="3"/>
    <col min="7425" max="7425" width="4.7109375" style="3" customWidth="1"/>
    <col min="7426" max="7426" width="6" style="3" customWidth="1"/>
    <col min="7427" max="7427" width="49.140625" style="3" customWidth="1"/>
    <col min="7428" max="7428" width="10.28515625" style="3" customWidth="1"/>
    <col min="7429" max="7429" width="8.7109375" style="3" customWidth="1"/>
    <col min="7430" max="7430" width="8.42578125" style="3" customWidth="1"/>
    <col min="7431" max="7431" width="8.28515625" style="3" customWidth="1"/>
    <col min="7432" max="7432" width="8.85546875" style="3" customWidth="1"/>
    <col min="7433" max="7434" width="8.5703125" style="3" customWidth="1"/>
    <col min="7435" max="7435" width="7.7109375" style="3" customWidth="1"/>
    <col min="7436" max="7439" width="0" style="3" hidden="1" customWidth="1"/>
    <col min="7440" max="7680" width="9.140625" style="3"/>
    <col min="7681" max="7681" width="4.7109375" style="3" customWidth="1"/>
    <col min="7682" max="7682" width="6" style="3" customWidth="1"/>
    <col min="7683" max="7683" width="49.140625" style="3" customWidth="1"/>
    <col min="7684" max="7684" width="10.28515625" style="3" customWidth="1"/>
    <col min="7685" max="7685" width="8.7109375" style="3" customWidth="1"/>
    <col min="7686" max="7686" width="8.42578125" style="3" customWidth="1"/>
    <col min="7687" max="7687" width="8.28515625" style="3" customWidth="1"/>
    <col min="7688" max="7688" width="8.85546875" style="3" customWidth="1"/>
    <col min="7689" max="7690" width="8.5703125" style="3" customWidth="1"/>
    <col min="7691" max="7691" width="7.7109375" style="3" customWidth="1"/>
    <col min="7692" max="7695" width="0" style="3" hidden="1" customWidth="1"/>
    <col min="7696" max="7936" width="9.140625" style="3"/>
    <col min="7937" max="7937" width="4.7109375" style="3" customWidth="1"/>
    <col min="7938" max="7938" width="6" style="3" customWidth="1"/>
    <col min="7939" max="7939" width="49.140625" style="3" customWidth="1"/>
    <col min="7940" max="7940" width="10.28515625" style="3" customWidth="1"/>
    <col min="7941" max="7941" width="8.7109375" style="3" customWidth="1"/>
    <col min="7942" max="7942" width="8.42578125" style="3" customWidth="1"/>
    <col min="7943" max="7943" width="8.28515625" style="3" customWidth="1"/>
    <col min="7944" max="7944" width="8.85546875" style="3" customWidth="1"/>
    <col min="7945" max="7946" width="8.5703125" style="3" customWidth="1"/>
    <col min="7947" max="7947" width="7.7109375" style="3" customWidth="1"/>
    <col min="7948" max="7951" width="0" style="3" hidden="1" customWidth="1"/>
    <col min="7952" max="8192" width="9.140625" style="3"/>
    <col min="8193" max="8193" width="4.7109375" style="3" customWidth="1"/>
    <col min="8194" max="8194" width="6" style="3" customWidth="1"/>
    <col min="8195" max="8195" width="49.140625" style="3" customWidth="1"/>
    <col min="8196" max="8196" width="10.28515625" style="3" customWidth="1"/>
    <col min="8197" max="8197" width="8.7109375" style="3" customWidth="1"/>
    <col min="8198" max="8198" width="8.42578125" style="3" customWidth="1"/>
    <col min="8199" max="8199" width="8.28515625" style="3" customWidth="1"/>
    <col min="8200" max="8200" width="8.85546875" style="3" customWidth="1"/>
    <col min="8201" max="8202" width="8.5703125" style="3" customWidth="1"/>
    <col min="8203" max="8203" width="7.7109375" style="3" customWidth="1"/>
    <col min="8204" max="8207" width="0" style="3" hidden="1" customWidth="1"/>
    <col min="8208" max="8448" width="9.140625" style="3"/>
    <col min="8449" max="8449" width="4.7109375" style="3" customWidth="1"/>
    <col min="8450" max="8450" width="6" style="3" customWidth="1"/>
    <col min="8451" max="8451" width="49.140625" style="3" customWidth="1"/>
    <col min="8452" max="8452" width="10.28515625" style="3" customWidth="1"/>
    <col min="8453" max="8453" width="8.7109375" style="3" customWidth="1"/>
    <col min="8454" max="8454" width="8.42578125" style="3" customWidth="1"/>
    <col min="8455" max="8455" width="8.28515625" style="3" customWidth="1"/>
    <col min="8456" max="8456" width="8.85546875" style="3" customWidth="1"/>
    <col min="8457" max="8458" width="8.5703125" style="3" customWidth="1"/>
    <col min="8459" max="8459" width="7.7109375" style="3" customWidth="1"/>
    <col min="8460" max="8463" width="0" style="3" hidden="1" customWidth="1"/>
    <col min="8464" max="8704" width="9.140625" style="3"/>
    <col min="8705" max="8705" width="4.7109375" style="3" customWidth="1"/>
    <col min="8706" max="8706" width="6" style="3" customWidth="1"/>
    <col min="8707" max="8707" width="49.140625" style="3" customWidth="1"/>
    <col min="8708" max="8708" width="10.28515625" style="3" customWidth="1"/>
    <col min="8709" max="8709" width="8.7109375" style="3" customWidth="1"/>
    <col min="8710" max="8710" width="8.42578125" style="3" customWidth="1"/>
    <col min="8711" max="8711" width="8.28515625" style="3" customWidth="1"/>
    <col min="8712" max="8712" width="8.85546875" style="3" customWidth="1"/>
    <col min="8713" max="8714" width="8.5703125" style="3" customWidth="1"/>
    <col min="8715" max="8715" width="7.7109375" style="3" customWidth="1"/>
    <col min="8716" max="8719" width="0" style="3" hidden="1" customWidth="1"/>
    <col min="8720" max="8960" width="9.140625" style="3"/>
    <col min="8961" max="8961" width="4.7109375" style="3" customWidth="1"/>
    <col min="8962" max="8962" width="6" style="3" customWidth="1"/>
    <col min="8963" max="8963" width="49.140625" style="3" customWidth="1"/>
    <col min="8964" max="8964" width="10.28515625" style="3" customWidth="1"/>
    <col min="8965" max="8965" width="8.7109375" style="3" customWidth="1"/>
    <col min="8966" max="8966" width="8.42578125" style="3" customWidth="1"/>
    <col min="8967" max="8967" width="8.28515625" style="3" customWidth="1"/>
    <col min="8968" max="8968" width="8.85546875" style="3" customWidth="1"/>
    <col min="8969" max="8970" width="8.5703125" style="3" customWidth="1"/>
    <col min="8971" max="8971" width="7.7109375" style="3" customWidth="1"/>
    <col min="8972" max="8975" width="0" style="3" hidden="1" customWidth="1"/>
    <col min="8976" max="9216" width="9.140625" style="3"/>
    <col min="9217" max="9217" width="4.7109375" style="3" customWidth="1"/>
    <col min="9218" max="9218" width="6" style="3" customWidth="1"/>
    <col min="9219" max="9219" width="49.140625" style="3" customWidth="1"/>
    <col min="9220" max="9220" width="10.28515625" style="3" customWidth="1"/>
    <col min="9221" max="9221" width="8.7109375" style="3" customWidth="1"/>
    <col min="9222" max="9222" width="8.42578125" style="3" customWidth="1"/>
    <col min="9223" max="9223" width="8.28515625" style="3" customWidth="1"/>
    <col min="9224" max="9224" width="8.85546875" style="3" customWidth="1"/>
    <col min="9225" max="9226" width="8.5703125" style="3" customWidth="1"/>
    <col min="9227" max="9227" width="7.7109375" style="3" customWidth="1"/>
    <col min="9228" max="9231" width="0" style="3" hidden="1" customWidth="1"/>
    <col min="9232" max="9472" width="9.140625" style="3"/>
    <col min="9473" max="9473" width="4.7109375" style="3" customWidth="1"/>
    <col min="9474" max="9474" width="6" style="3" customWidth="1"/>
    <col min="9475" max="9475" width="49.140625" style="3" customWidth="1"/>
    <col min="9476" max="9476" width="10.28515625" style="3" customWidth="1"/>
    <col min="9477" max="9477" width="8.7109375" style="3" customWidth="1"/>
    <col min="9478" max="9478" width="8.42578125" style="3" customWidth="1"/>
    <col min="9479" max="9479" width="8.28515625" style="3" customWidth="1"/>
    <col min="9480" max="9480" width="8.85546875" style="3" customWidth="1"/>
    <col min="9481" max="9482" width="8.5703125" style="3" customWidth="1"/>
    <col min="9483" max="9483" width="7.7109375" style="3" customWidth="1"/>
    <col min="9484" max="9487" width="0" style="3" hidden="1" customWidth="1"/>
    <col min="9488" max="9728" width="9.140625" style="3"/>
    <col min="9729" max="9729" width="4.7109375" style="3" customWidth="1"/>
    <col min="9730" max="9730" width="6" style="3" customWidth="1"/>
    <col min="9731" max="9731" width="49.140625" style="3" customWidth="1"/>
    <col min="9732" max="9732" width="10.28515625" style="3" customWidth="1"/>
    <col min="9733" max="9733" width="8.7109375" style="3" customWidth="1"/>
    <col min="9734" max="9734" width="8.42578125" style="3" customWidth="1"/>
    <col min="9735" max="9735" width="8.28515625" style="3" customWidth="1"/>
    <col min="9736" max="9736" width="8.85546875" style="3" customWidth="1"/>
    <col min="9737" max="9738" width="8.5703125" style="3" customWidth="1"/>
    <col min="9739" max="9739" width="7.7109375" style="3" customWidth="1"/>
    <col min="9740" max="9743" width="0" style="3" hidden="1" customWidth="1"/>
    <col min="9744" max="9984" width="9.140625" style="3"/>
    <col min="9985" max="9985" width="4.7109375" style="3" customWidth="1"/>
    <col min="9986" max="9986" width="6" style="3" customWidth="1"/>
    <col min="9987" max="9987" width="49.140625" style="3" customWidth="1"/>
    <col min="9988" max="9988" width="10.28515625" style="3" customWidth="1"/>
    <col min="9989" max="9989" width="8.7109375" style="3" customWidth="1"/>
    <col min="9990" max="9990" width="8.42578125" style="3" customWidth="1"/>
    <col min="9991" max="9991" width="8.28515625" style="3" customWidth="1"/>
    <col min="9992" max="9992" width="8.85546875" style="3" customWidth="1"/>
    <col min="9993" max="9994" width="8.5703125" style="3" customWidth="1"/>
    <col min="9995" max="9995" width="7.7109375" style="3" customWidth="1"/>
    <col min="9996" max="9999" width="0" style="3" hidden="1" customWidth="1"/>
    <col min="10000" max="10240" width="9.140625" style="3"/>
    <col min="10241" max="10241" width="4.7109375" style="3" customWidth="1"/>
    <col min="10242" max="10242" width="6" style="3" customWidth="1"/>
    <col min="10243" max="10243" width="49.140625" style="3" customWidth="1"/>
    <col min="10244" max="10244" width="10.28515625" style="3" customWidth="1"/>
    <col min="10245" max="10245" width="8.7109375" style="3" customWidth="1"/>
    <col min="10246" max="10246" width="8.42578125" style="3" customWidth="1"/>
    <col min="10247" max="10247" width="8.28515625" style="3" customWidth="1"/>
    <col min="10248" max="10248" width="8.85546875" style="3" customWidth="1"/>
    <col min="10249" max="10250" width="8.5703125" style="3" customWidth="1"/>
    <col min="10251" max="10251" width="7.7109375" style="3" customWidth="1"/>
    <col min="10252" max="10255" width="0" style="3" hidden="1" customWidth="1"/>
    <col min="10256" max="10496" width="9.140625" style="3"/>
    <col min="10497" max="10497" width="4.7109375" style="3" customWidth="1"/>
    <col min="10498" max="10498" width="6" style="3" customWidth="1"/>
    <col min="10499" max="10499" width="49.140625" style="3" customWidth="1"/>
    <col min="10500" max="10500" width="10.28515625" style="3" customWidth="1"/>
    <col min="10501" max="10501" width="8.7109375" style="3" customWidth="1"/>
    <col min="10502" max="10502" width="8.42578125" style="3" customWidth="1"/>
    <col min="10503" max="10503" width="8.28515625" style="3" customWidth="1"/>
    <col min="10504" max="10504" width="8.85546875" style="3" customWidth="1"/>
    <col min="10505" max="10506" width="8.5703125" style="3" customWidth="1"/>
    <col min="10507" max="10507" width="7.7109375" style="3" customWidth="1"/>
    <col min="10508" max="10511" width="0" style="3" hidden="1" customWidth="1"/>
    <col min="10512" max="10752" width="9.140625" style="3"/>
    <col min="10753" max="10753" width="4.7109375" style="3" customWidth="1"/>
    <col min="10754" max="10754" width="6" style="3" customWidth="1"/>
    <col min="10755" max="10755" width="49.140625" style="3" customWidth="1"/>
    <col min="10756" max="10756" width="10.28515625" style="3" customWidth="1"/>
    <col min="10757" max="10757" width="8.7109375" style="3" customWidth="1"/>
    <col min="10758" max="10758" width="8.42578125" style="3" customWidth="1"/>
    <col min="10759" max="10759" width="8.28515625" style="3" customWidth="1"/>
    <col min="10760" max="10760" width="8.85546875" style="3" customWidth="1"/>
    <col min="10761" max="10762" width="8.5703125" style="3" customWidth="1"/>
    <col min="10763" max="10763" width="7.7109375" style="3" customWidth="1"/>
    <col min="10764" max="10767" width="0" style="3" hidden="1" customWidth="1"/>
    <col min="10768" max="11008" width="9.140625" style="3"/>
    <col min="11009" max="11009" width="4.7109375" style="3" customWidth="1"/>
    <col min="11010" max="11010" width="6" style="3" customWidth="1"/>
    <col min="11011" max="11011" width="49.140625" style="3" customWidth="1"/>
    <col min="11012" max="11012" width="10.28515625" style="3" customWidth="1"/>
    <col min="11013" max="11013" width="8.7109375" style="3" customWidth="1"/>
    <col min="11014" max="11014" width="8.42578125" style="3" customWidth="1"/>
    <col min="11015" max="11015" width="8.28515625" style="3" customWidth="1"/>
    <col min="11016" max="11016" width="8.85546875" style="3" customWidth="1"/>
    <col min="11017" max="11018" width="8.5703125" style="3" customWidth="1"/>
    <col min="11019" max="11019" width="7.7109375" style="3" customWidth="1"/>
    <col min="11020" max="11023" width="0" style="3" hidden="1" customWidth="1"/>
    <col min="11024" max="11264" width="9.140625" style="3"/>
    <col min="11265" max="11265" width="4.7109375" style="3" customWidth="1"/>
    <col min="11266" max="11266" width="6" style="3" customWidth="1"/>
    <col min="11267" max="11267" width="49.140625" style="3" customWidth="1"/>
    <col min="11268" max="11268" width="10.28515625" style="3" customWidth="1"/>
    <col min="11269" max="11269" width="8.7109375" style="3" customWidth="1"/>
    <col min="11270" max="11270" width="8.42578125" style="3" customWidth="1"/>
    <col min="11271" max="11271" width="8.28515625" style="3" customWidth="1"/>
    <col min="11272" max="11272" width="8.85546875" style="3" customWidth="1"/>
    <col min="11273" max="11274" width="8.5703125" style="3" customWidth="1"/>
    <col min="11275" max="11275" width="7.7109375" style="3" customWidth="1"/>
    <col min="11276" max="11279" width="0" style="3" hidden="1" customWidth="1"/>
    <col min="11280" max="11520" width="9.140625" style="3"/>
    <col min="11521" max="11521" width="4.7109375" style="3" customWidth="1"/>
    <col min="11522" max="11522" width="6" style="3" customWidth="1"/>
    <col min="11523" max="11523" width="49.140625" style="3" customWidth="1"/>
    <col min="11524" max="11524" width="10.28515625" style="3" customWidth="1"/>
    <col min="11525" max="11525" width="8.7109375" style="3" customWidth="1"/>
    <col min="11526" max="11526" width="8.42578125" style="3" customWidth="1"/>
    <col min="11527" max="11527" width="8.28515625" style="3" customWidth="1"/>
    <col min="11528" max="11528" width="8.85546875" style="3" customWidth="1"/>
    <col min="11529" max="11530" width="8.5703125" style="3" customWidth="1"/>
    <col min="11531" max="11531" width="7.7109375" style="3" customWidth="1"/>
    <col min="11532" max="11535" width="0" style="3" hidden="1" customWidth="1"/>
    <col min="11536" max="11776" width="9.140625" style="3"/>
    <col min="11777" max="11777" width="4.7109375" style="3" customWidth="1"/>
    <col min="11778" max="11778" width="6" style="3" customWidth="1"/>
    <col min="11779" max="11779" width="49.140625" style="3" customWidth="1"/>
    <col min="11780" max="11780" width="10.28515625" style="3" customWidth="1"/>
    <col min="11781" max="11781" width="8.7109375" style="3" customWidth="1"/>
    <col min="11782" max="11782" width="8.42578125" style="3" customWidth="1"/>
    <col min="11783" max="11783" width="8.28515625" style="3" customWidth="1"/>
    <col min="11784" max="11784" width="8.85546875" style="3" customWidth="1"/>
    <col min="11785" max="11786" width="8.5703125" style="3" customWidth="1"/>
    <col min="11787" max="11787" width="7.7109375" style="3" customWidth="1"/>
    <col min="11788" max="11791" width="0" style="3" hidden="1" customWidth="1"/>
    <col min="11792" max="12032" width="9.140625" style="3"/>
    <col min="12033" max="12033" width="4.7109375" style="3" customWidth="1"/>
    <col min="12034" max="12034" width="6" style="3" customWidth="1"/>
    <col min="12035" max="12035" width="49.140625" style="3" customWidth="1"/>
    <col min="12036" max="12036" width="10.28515625" style="3" customWidth="1"/>
    <col min="12037" max="12037" width="8.7109375" style="3" customWidth="1"/>
    <col min="12038" max="12038" width="8.42578125" style="3" customWidth="1"/>
    <col min="12039" max="12039" width="8.28515625" style="3" customWidth="1"/>
    <col min="12040" max="12040" width="8.85546875" style="3" customWidth="1"/>
    <col min="12041" max="12042" width="8.5703125" style="3" customWidth="1"/>
    <col min="12043" max="12043" width="7.7109375" style="3" customWidth="1"/>
    <col min="12044" max="12047" width="0" style="3" hidden="1" customWidth="1"/>
    <col min="12048" max="12288" width="9.140625" style="3"/>
    <col min="12289" max="12289" width="4.7109375" style="3" customWidth="1"/>
    <col min="12290" max="12290" width="6" style="3" customWidth="1"/>
    <col min="12291" max="12291" width="49.140625" style="3" customWidth="1"/>
    <col min="12292" max="12292" width="10.28515625" style="3" customWidth="1"/>
    <col min="12293" max="12293" width="8.7109375" style="3" customWidth="1"/>
    <col min="12294" max="12294" width="8.42578125" style="3" customWidth="1"/>
    <col min="12295" max="12295" width="8.28515625" style="3" customWidth="1"/>
    <col min="12296" max="12296" width="8.85546875" style="3" customWidth="1"/>
    <col min="12297" max="12298" width="8.5703125" style="3" customWidth="1"/>
    <col min="12299" max="12299" width="7.7109375" style="3" customWidth="1"/>
    <col min="12300" max="12303" width="0" style="3" hidden="1" customWidth="1"/>
    <col min="12304" max="12544" width="9.140625" style="3"/>
    <col min="12545" max="12545" width="4.7109375" style="3" customWidth="1"/>
    <col min="12546" max="12546" width="6" style="3" customWidth="1"/>
    <col min="12547" max="12547" width="49.140625" style="3" customWidth="1"/>
    <col min="12548" max="12548" width="10.28515625" style="3" customWidth="1"/>
    <col min="12549" max="12549" width="8.7109375" style="3" customWidth="1"/>
    <col min="12550" max="12550" width="8.42578125" style="3" customWidth="1"/>
    <col min="12551" max="12551" width="8.28515625" style="3" customWidth="1"/>
    <col min="12552" max="12552" width="8.85546875" style="3" customWidth="1"/>
    <col min="12553" max="12554" width="8.5703125" style="3" customWidth="1"/>
    <col min="12555" max="12555" width="7.7109375" style="3" customWidth="1"/>
    <col min="12556" max="12559" width="0" style="3" hidden="1" customWidth="1"/>
    <col min="12560" max="12800" width="9.140625" style="3"/>
    <col min="12801" max="12801" width="4.7109375" style="3" customWidth="1"/>
    <col min="12802" max="12802" width="6" style="3" customWidth="1"/>
    <col min="12803" max="12803" width="49.140625" style="3" customWidth="1"/>
    <col min="12804" max="12804" width="10.28515625" style="3" customWidth="1"/>
    <col min="12805" max="12805" width="8.7109375" style="3" customWidth="1"/>
    <col min="12806" max="12806" width="8.42578125" style="3" customWidth="1"/>
    <col min="12807" max="12807" width="8.28515625" style="3" customWidth="1"/>
    <col min="12808" max="12808" width="8.85546875" style="3" customWidth="1"/>
    <col min="12809" max="12810" width="8.5703125" style="3" customWidth="1"/>
    <col min="12811" max="12811" width="7.7109375" style="3" customWidth="1"/>
    <col min="12812" max="12815" width="0" style="3" hidden="1" customWidth="1"/>
    <col min="12816" max="13056" width="9.140625" style="3"/>
    <col min="13057" max="13057" width="4.7109375" style="3" customWidth="1"/>
    <col min="13058" max="13058" width="6" style="3" customWidth="1"/>
    <col min="13059" max="13059" width="49.140625" style="3" customWidth="1"/>
    <col min="13060" max="13060" width="10.28515625" style="3" customWidth="1"/>
    <col min="13061" max="13061" width="8.7109375" style="3" customWidth="1"/>
    <col min="13062" max="13062" width="8.42578125" style="3" customWidth="1"/>
    <col min="13063" max="13063" width="8.28515625" style="3" customWidth="1"/>
    <col min="13064" max="13064" width="8.85546875" style="3" customWidth="1"/>
    <col min="13065" max="13066" width="8.5703125" style="3" customWidth="1"/>
    <col min="13067" max="13067" width="7.7109375" style="3" customWidth="1"/>
    <col min="13068" max="13071" width="0" style="3" hidden="1" customWidth="1"/>
    <col min="13072" max="13312" width="9.140625" style="3"/>
    <col min="13313" max="13313" width="4.7109375" style="3" customWidth="1"/>
    <col min="13314" max="13314" width="6" style="3" customWidth="1"/>
    <col min="13315" max="13315" width="49.140625" style="3" customWidth="1"/>
    <col min="13316" max="13316" width="10.28515625" style="3" customWidth="1"/>
    <col min="13317" max="13317" width="8.7109375" style="3" customWidth="1"/>
    <col min="13318" max="13318" width="8.42578125" style="3" customWidth="1"/>
    <col min="13319" max="13319" width="8.28515625" style="3" customWidth="1"/>
    <col min="13320" max="13320" width="8.85546875" style="3" customWidth="1"/>
    <col min="13321" max="13322" width="8.5703125" style="3" customWidth="1"/>
    <col min="13323" max="13323" width="7.7109375" style="3" customWidth="1"/>
    <col min="13324" max="13327" width="0" style="3" hidden="1" customWidth="1"/>
    <col min="13328" max="13568" width="9.140625" style="3"/>
    <col min="13569" max="13569" width="4.7109375" style="3" customWidth="1"/>
    <col min="13570" max="13570" width="6" style="3" customWidth="1"/>
    <col min="13571" max="13571" width="49.140625" style="3" customWidth="1"/>
    <col min="13572" max="13572" width="10.28515625" style="3" customWidth="1"/>
    <col min="13573" max="13573" width="8.7109375" style="3" customWidth="1"/>
    <col min="13574" max="13574" width="8.42578125" style="3" customWidth="1"/>
    <col min="13575" max="13575" width="8.28515625" style="3" customWidth="1"/>
    <col min="13576" max="13576" width="8.85546875" style="3" customWidth="1"/>
    <col min="13577" max="13578" width="8.5703125" style="3" customWidth="1"/>
    <col min="13579" max="13579" width="7.7109375" style="3" customWidth="1"/>
    <col min="13580" max="13583" width="0" style="3" hidden="1" customWidth="1"/>
    <col min="13584" max="13824" width="9.140625" style="3"/>
    <col min="13825" max="13825" width="4.7109375" style="3" customWidth="1"/>
    <col min="13826" max="13826" width="6" style="3" customWidth="1"/>
    <col min="13827" max="13827" width="49.140625" style="3" customWidth="1"/>
    <col min="13828" max="13828" width="10.28515625" style="3" customWidth="1"/>
    <col min="13829" max="13829" width="8.7109375" style="3" customWidth="1"/>
    <col min="13830" max="13830" width="8.42578125" style="3" customWidth="1"/>
    <col min="13831" max="13831" width="8.28515625" style="3" customWidth="1"/>
    <col min="13832" max="13832" width="8.85546875" style="3" customWidth="1"/>
    <col min="13833" max="13834" width="8.5703125" style="3" customWidth="1"/>
    <col min="13835" max="13835" width="7.7109375" style="3" customWidth="1"/>
    <col min="13836" max="13839" width="0" style="3" hidden="1" customWidth="1"/>
    <col min="13840" max="14080" width="9.140625" style="3"/>
    <col min="14081" max="14081" width="4.7109375" style="3" customWidth="1"/>
    <col min="14082" max="14082" width="6" style="3" customWidth="1"/>
    <col min="14083" max="14083" width="49.140625" style="3" customWidth="1"/>
    <col min="14084" max="14084" width="10.28515625" style="3" customWidth="1"/>
    <col min="14085" max="14085" width="8.7109375" style="3" customWidth="1"/>
    <col min="14086" max="14086" width="8.42578125" style="3" customWidth="1"/>
    <col min="14087" max="14087" width="8.28515625" style="3" customWidth="1"/>
    <col min="14088" max="14088" width="8.85546875" style="3" customWidth="1"/>
    <col min="14089" max="14090" width="8.5703125" style="3" customWidth="1"/>
    <col min="14091" max="14091" width="7.7109375" style="3" customWidth="1"/>
    <col min="14092" max="14095" width="0" style="3" hidden="1" customWidth="1"/>
    <col min="14096" max="14336" width="9.140625" style="3"/>
    <col min="14337" max="14337" width="4.7109375" style="3" customWidth="1"/>
    <col min="14338" max="14338" width="6" style="3" customWidth="1"/>
    <col min="14339" max="14339" width="49.140625" style="3" customWidth="1"/>
    <col min="14340" max="14340" width="10.28515625" style="3" customWidth="1"/>
    <col min="14341" max="14341" width="8.7109375" style="3" customWidth="1"/>
    <col min="14342" max="14342" width="8.42578125" style="3" customWidth="1"/>
    <col min="14343" max="14343" width="8.28515625" style="3" customWidth="1"/>
    <col min="14344" max="14344" width="8.85546875" style="3" customWidth="1"/>
    <col min="14345" max="14346" width="8.5703125" style="3" customWidth="1"/>
    <col min="14347" max="14347" width="7.7109375" style="3" customWidth="1"/>
    <col min="14348" max="14351" width="0" style="3" hidden="1" customWidth="1"/>
    <col min="14352" max="14592" width="9.140625" style="3"/>
    <col min="14593" max="14593" width="4.7109375" style="3" customWidth="1"/>
    <col min="14594" max="14594" width="6" style="3" customWidth="1"/>
    <col min="14595" max="14595" width="49.140625" style="3" customWidth="1"/>
    <col min="14596" max="14596" width="10.28515625" style="3" customWidth="1"/>
    <col min="14597" max="14597" width="8.7109375" style="3" customWidth="1"/>
    <col min="14598" max="14598" width="8.42578125" style="3" customWidth="1"/>
    <col min="14599" max="14599" width="8.28515625" style="3" customWidth="1"/>
    <col min="14600" max="14600" width="8.85546875" style="3" customWidth="1"/>
    <col min="14601" max="14602" width="8.5703125" style="3" customWidth="1"/>
    <col min="14603" max="14603" width="7.7109375" style="3" customWidth="1"/>
    <col min="14604" max="14607" width="0" style="3" hidden="1" customWidth="1"/>
    <col min="14608" max="14848" width="9.140625" style="3"/>
    <col min="14849" max="14849" width="4.7109375" style="3" customWidth="1"/>
    <col min="14850" max="14850" width="6" style="3" customWidth="1"/>
    <col min="14851" max="14851" width="49.140625" style="3" customWidth="1"/>
    <col min="14852" max="14852" width="10.28515625" style="3" customWidth="1"/>
    <col min="14853" max="14853" width="8.7109375" style="3" customWidth="1"/>
    <col min="14854" max="14854" width="8.42578125" style="3" customWidth="1"/>
    <col min="14855" max="14855" width="8.28515625" style="3" customWidth="1"/>
    <col min="14856" max="14856" width="8.85546875" style="3" customWidth="1"/>
    <col min="14857" max="14858" width="8.5703125" style="3" customWidth="1"/>
    <col min="14859" max="14859" width="7.7109375" style="3" customWidth="1"/>
    <col min="14860" max="14863" width="0" style="3" hidden="1" customWidth="1"/>
    <col min="14864" max="15104" width="9.140625" style="3"/>
    <col min="15105" max="15105" width="4.7109375" style="3" customWidth="1"/>
    <col min="15106" max="15106" width="6" style="3" customWidth="1"/>
    <col min="15107" max="15107" width="49.140625" style="3" customWidth="1"/>
    <col min="15108" max="15108" width="10.28515625" style="3" customWidth="1"/>
    <col min="15109" max="15109" width="8.7109375" style="3" customWidth="1"/>
    <col min="15110" max="15110" width="8.42578125" style="3" customWidth="1"/>
    <col min="15111" max="15111" width="8.28515625" style="3" customWidth="1"/>
    <col min="15112" max="15112" width="8.85546875" style="3" customWidth="1"/>
    <col min="15113" max="15114" width="8.5703125" style="3" customWidth="1"/>
    <col min="15115" max="15115" width="7.7109375" style="3" customWidth="1"/>
    <col min="15116" max="15119" width="0" style="3" hidden="1" customWidth="1"/>
    <col min="15120" max="15360" width="9.140625" style="3"/>
    <col min="15361" max="15361" width="4.7109375" style="3" customWidth="1"/>
    <col min="15362" max="15362" width="6" style="3" customWidth="1"/>
    <col min="15363" max="15363" width="49.140625" style="3" customWidth="1"/>
    <col min="15364" max="15364" width="10.28515625" style="3" customWidth="1"/>
    <col min="15365" max="15365" width="8.7109375" style="3" customWidth="1"/>
    <col min="15366" max="15366" width="8.42578125" style="3" customWidth="1"/>
    <col min="15367" max="15367" width="8.28515625" style="3" customWidth="1"/>
    <col min="15368" max="15368" width="8.85546875" style="3" customWidth="1"/>
    <col min="15369" max="15370" width="8.5703125" style="3" customWidth="1"/>
    <col min="15371" max="15371" width="7.7109375" style="3" customWidth="1"/>
    <col min="15372" max="15375" width="0" style="3" hidden="1" customWidth="1"/>
    <col min="15376" max="15616" width="9.140625" style="3"/>
    <col min="15617" max="15617" width="4.7109375" style="3" customWidth="1"/>
    <col min="15618" max="15618" width="6" style="3" customWidth="1"/>
    <col min="15619" max="15619" width="49.140625" style="3" customWidth="1"/>
    <col min="15620" max="15620" width="10.28515625" style="3" customWidth="1"/>
    <col min="15621" max="15621" width="8.7109375" style="3" customWidth="1"/>
    <col min="15622" max="15622" width="8.42578125" style="3" customWidth="1"/>
    <col min="15623" max="15623" width="8.28515625" style="3" customWidth="1"/>
    <col min="15624" max="15624" width="8.85546875" style="3" customWidth="1"/>
    <col min="15625" max="15626" width="8.5703125" style="3" customWidth="1"/>
    <col min="15627" max="15627" width="7.7109375" style="3" customWidth="1"/>
    <col min="15628" max="15631" width="0" style="3" hidden="1" customWidth="1"/>
    <col min="15632" max="15872" width="9.140625" style="3"/>
    <col min="15873" max="15873" width="4.7109375" style="3" customWidth="1"/>
    <col min="15874" max="15874" width="6" style="3" customWidth="1"/>
    <col min="15875" max="15875" width="49.140625" style="3" customWidth="1"/>
    <col min="15876" max="15876" width="10.28515625" style="3" customWidth="1"/>
    <col min="15877" max="15877" width="8.7109375" style="3" customWidth="1"/>
    <col min="15878" max="15878" width="8.42578125" style="3" customWidth="1"/>
    <col min="15879" max="15879" width="8.28515625" style="3" customWidth="1"/>
    <col min="15880" max="15880" width="8.85546875" style="3" customWidth="1"/>
    <col min="15881" max="15882" width="8.5703125" style="3" customWidth="1"/>
    <col min="15883" max="15883" width="7.7109375" style="3" customWidth="1"/>
    <col min="15884" max="15887" width="0" style="3" hidden="1" customWidth="1"/>
    <col min="15888" max="16128" width="9.140625" style="3"/>
    <col min="16129" max="16129" width="4.7109375" style="3" customWidth="1"/>
    <col min="16130" max="16130" width="6" style="3" customWidth="1"/>
    <col min="16131" max="16131" width="49.140625" style="3" customWidth="1"/>
    <col min="16132" max="16132" width="10.28515625" style="3" customWidth="1"/>
    <col min="16133" max="16133" width="8.7109375" style="3" customWidth="1"/>
    <col min="16134" max="16134" width="8.42578125" style="3" customWidth="1"/>
    <col min="16135" max="16135" width="8.28515625" style="3" customWidth="1"/>
    <col min="16136" max="16136" width="8.85546875" style="3" customWidth="1"/>
    <col min="16137" max="16138" width="8.5703125" style="3" customWidth="1"/>
    <col min="16139" max="16139" width="7.7109375" style="3" customWidth="1"/>
    <col min="16140" max="16143" width="0" style="3" hidden="1" customWidth="1"/>
    <col min="16144" max="16384" width="9.140625" style="3"/>
  </cols>
  <sheetData>
    <row r="1" spans="1:22" x14ac:dyDescent="0.2">
      <c r="C1" s="239" t="s">
        <v>752</v>
      </c>
      <c r="D1" s="239"/>
      <c r="E1" s="239"/>
      <c r="F1" s="239"/>
      <c r="G1" s="239"/>
      <c r="H1" s="239"/>
      <c r="I1" s="239"/>
      <c r="J1" s="239"/>
      <c r="K1" s="239"/>
      <c r="L1" s="239"/>
      <c r="M1" s="239"/>
      <c r="N1" s="239"/>
      <c r="O1" s="239"/>
      <c r="P1" s="239"/>
    </row>
    <row r="2" spans="1:22" x14ac:dyDescent="0.2">
      <c r="C2" s="239" t="s">
        <v>767</v>
      </c>
      <c r="D2" s="239"/>
      <c r="E2" s="239"/>
      <c r="F2" s="239"/>
      <c r="G2" s="239"/>
      <c r="H2" s="239"/>
      <c r="I2" s="239"/>
      <c r="J2" s="239"/>
      <c r="K2" s="239"/>
      <c r="L2" s="239"/>
      <c r="M2" s="239"/>
      <c r="N2" s="239"/>
      <c r="O2" s="239"/>
      <c r="P2" s="239"/>
    </row>
    <row r="3" spans="1:22" x14ac:dyDescent="0.2">
      <c r="E3" s="259" t="s">
        <v>690</v>
      </c>
      <c r="F3" s="259"/>
      <c r="G3" s="259"/>
      <c r="H3" s="259"/>
      <c r="I3" s="259"/>
      <c r="J3" s="259"/>
      <c r="K3" s="259"/>
      <c r="L3" s="259"/>
      <c r="M3" s="259"/>
      <c r="N3" s="259"/>
      <c r="O3" s="259"/>
      <c r="P3" s="259"/>
    </row>
    <row r="4" spans="1:22" ht="15.75" x14ac:dyDescent="0.2">
      <c r="E4" s="6"/>
      <c r="F4" s="6"/>
      <c r="G4" s="6"/>
      <c r="H4" s="6"/>
      <c r="I4" s="6"/>
      <c r="J4" s="6"/>
      <c r="K4" s="6"/>
    </row>
    <row r="5" spans="1:22" ht="27" customHeight="1" x14ac:dyDescent="0.2">
      <c r="A5" s="284" t="s">
        <v>732</v>
      </c>
      <c r="B5" s="284"/>
      <c r="C5" s="284"/>
      <c r="D5" s="284"/>
      <c r="E5" s="284"/>
      <c r="F5" s="284"/>
      <c r="G5" s="284"/>
      <c r="H5" s="284"/>
      <c r="I5" s="284"/>
      <c r="J5" s="284"/>
      <c r="K5" s="284"/>
    </row>
    <row r="6" spans="1:22" x14ac:dyDescent="0.2">
      <c r="A6" s="177"/>
      <c r="B6" s="174"/>
      <c r="C6" s="175"/>
      <c r="D6" s="176"/>
      <c r="E6" s="177"/>
      <c r="F6" s="177"/>
      <c r="G6" s="177"/>
      <c r="H6" s="177"/>
      <c r="I6" s="177"/>
      <c r="J6" s="258" t="s">
        <v>3</v>
      </c>
      <c r="K6" s="258"/>
      <c r="L6" s="258"/>
      <c r="M6" s="258"/>
      <c r="N6" s="258"/>
      <c r="O6" s="258"/>
      <c r="P6" s="258"/>
    </row>
    <row r="7" spans="1:22" ht="12.75" customHeight="1" x14ac:dyDescent="0.2">
      <c r="A7" s="242" t="s">
        <v>504</v>
      </c>
      <c r="B7" s="268" t="s">
        <v>505</v>
      </c>
      <c r="C7" s="268" t="s">
        <v>6</v>
      </c>
      <c r="D7" s="242" t="s">
        <v>7</v>
      </c>
      <c r="E7" s="246" t="s">
        <v>8</v>
      </c>
      <c r="F7" s="247"/>
      <c r="G7" s="240" t="s">
        <v>9</v>
      </c>
      <c r="H7" s="285"/>
      <c r="I7" s="285"/>
      <c r="J7" s="285"/>
      <c r="K7" s="285"/>
      <c r="L7" s="285"/>
      <c r="M7" s="285"/>
      <c r="N7" s="285"/>
      <c r="O7" s="285"/>
      <c r="P7" s="241"/>
    </row>
    <row r="8" spans="1:22" ht="12.75" customHeight="1" x14ac:dyDescent="0.2">
      <c r="A8" s="264"/>
      <c r="B8" s="269"/>
      <c r="C8" s="269"/>
      <c r="D8" s="264"/>
      <c r="E8" s="248"/>
      <c r="F8" s="249"/>
      <c r="G8" s="240" t="s">
        <v>10</v>
      </c>
      <c r="H8" s="285"/>
      <c r="I8" s="285"/>
      <c r="J8" s="241"/>
      <c r="K8" s="246" t="s">
        <v>11</v>
      </c>
      <c r="L8" s="256"/>
      <c r="M8" s="256"/>
      <c r="N8" s="256"/>
      <c r="O8" s="256"/>
      <c r="P8" s="247"/>
    </row>
    <row r="9" spans="1:22" ht="27.6" customHeight="1" x14ac:dyDescent="0.2">
      <c r="A9" s="264"/>
      <c r="B9" s="269"/>
      <c r="C9" s="269"/>
      <c r="D9" s="264"/>
      <c r="E9" s="242" t="s">
        <v>12</v>
      </c>
      <c r="F9" s="244" t="s">
        <v>13</v>
      </c>
      <c r="G9" s="253" t="s">
        <v>506</v>
      </c>
      <c r="H9" s="255"/>
      <c r="I9" s="240" t="s">
        <v>14</v>
      </c>
      <c r="J9" s="241"/>
      <c r="K9" s="242" t="s">
        <v>12</v>
      </c>
      <c r="P9" s="244" t="s">
        <v>13</v>
      </c>
      <c r="V9" s="102"/>
    </row>
    <row r="10" spans="1:22" ht="18.600000000000001" customHeight="1" x14ac:dyDescent="0.2">
      <c r="A10" s="243"/>
      <c r="B10" s="270"/>
      <c r="C10" s="270"/>
      <c r="D10" s="243"/>
      <c r="E10" s="243"/>
      <c r="F10" s="245"/>
      <c r="G10" s="121" t="s">
        <v>12</v>
      </c>
      <c r="H10" s="121" t="s">
        <v>13</v>
      </c>
      <c r="I10" s="8" t="s">
        <v>12</v>
      </c>
      <c r="J10" s="9" t="s">
        <v>13</v>
      </c>
      <c r="K10" s="243"/>
      <c r="P10" s="245"/>
      <c r="V10" s="102"/>
    </row>
    <row r="11" spans="1:22" s="102" customFormat="1" ht="12.75" customHeight="1" x14ac:dyDescent="0.2">
      <c r="A11" s="76">
        <v>1</v>
      </c>
      <c r="B11" s="12" t="s">
        <v>15</v>
      </c>
      <c r="C11" s="12" t="s">
        <v>694</v>
      </c>
      <c r="D11" s="8">
        <v>4</v>
      </c>
      <c r="E11" s="8">
        <v>5</v>
      </c>
      <c r="F11" s="238">
        <v>6</v>
      </c>
      <c r="G11" s="8">
        <v>7</v>
      </c>
      <c r="H11" s="8">
        <v>8</v>
      </c>
      <c r="I11" s="8">
        <v>9</v>
      </c>
      <c r="J11" s="8">
        <v>10</v>
      </c>
      <c r="K11" s="9">
        <v>11</v>
      </c>
      <c r="L11" s="3"/>
      <c r="M11" s="3"/>
      <c r="N11" s="3"/>
      <c r="O11" s="3"/>
      <c r="P11" s="9">
        <v>12</v>
      </c>
    </row>
    <row r="12" spans="1:22" s="102" customFormat="1" ht="12.75" customHeight="1" x14ac:dyDescent="0.2">
      <c r="A12" s="13">
        <v>1</v>
      </c>
      <c r="B12" s="11" t="s">
        <v>16</v>
      </c>
      <c r="C12" s="14" t="s">
        <v>17</v>
      </c>
      <c r="D12" s="8"/>
      <c r="E12" s="126">
        <f t="shared" ref="E12:E49" si="0">+G12+K12</f>
        <v>57.5</v>
      </c>
      <c r="F12" s="126">
        <f>+H12+P12</f>
        <v>35.6</v>
      </c>
      <c r="G12" s="80">
        <f>+G13</f>
        <v>1.4</v>
      </c>
      <c r="H12" s="80">
        <f>+H13</f>
        <v>1</v>
      </c>
      <c r="I12" s="222">
        <v>0</v>
      </c>
      <c r="J12" s="222">
        <v>0</v>
      </c>
      <c r="K12" s="80">
        <f t="shared" ref="K12:P12" si="1">+K13</f>
        <v>56.1</v>
      </c>
      <c r="L12" s="80">
        <f t="shared" si="1"/>
        <v>-10.5</v>
      </c>
      <c r="M12" s="80">
        <f t="shared" si="1"/>
        <v>0.5</v>
      </c>
      <c r="N12" s="80">
        <f t="shared" si="1"/>
        <v>0</v>
      </c>
      <c r="O12" s="80">
        <f t="shared" si="1"/>
        <v>-11</v>
      </c>
      <c r="P12" s="80">
        <f t="shared" si="1"/>
        <v>34.6</v>
      </c>
    </row>
    <row r="13" spans="1:22" s="102" customFormat="1" ht="12.75" customHeight="1" x14ac:dyDescent="0.2">
      <c r="A13" s="13">
        <v>2</v>
      </c>
      <c r="B13" s="12"/>
      <c r="C13" s="138" t="s">
        <v>534</v>
      </c>
      <c r="D13" s="8"/>
      <c r="E13" s="208">
        <f t="shared" si="0"/>
        <v>57.5</v>
      </c>
      <c r="F13" s="77">
        <f t="shared" ref="F13:G49" si="2">+H13+P13</f>
        <v>35.6</v>
      </c>
      <c r="G13" s="165">
        <f>+G14+G15+G16</f>
        <v>1.4</v>
      </c>
      <c r="H13" s="165">
        <f>+H14+H15+H16</f>
        <v>1</v>
      </c>
      <c r="I13" s="165">
        <f>+I14+I15+I16</f>
        <v>0</v>
      </c>
      <c r="J13" s="165"/>
      <c r="K13" s="165">
        <f t="shared" ref="K13:P13" si="3">+K14+K15+K16</f>
        <v>56.1</v>
      </c>
      <c r="L13" s="165">
        <f t="shared" si="3"/>
        <v>-10.5</v>
      </c>
      <c r="M13" s="165">
        <f t="shared" si="3"/>
        <v>0.5</v>
      </c>
      <c r="N13" s="165">
        <f t="shared" si="3"/>
        <v>0</v>
      </c>
      <c r="O13" s="165">
        <f t="shared" si="3"/>
        <v>-11</v>
      </c>
      <c r="P13" s="165">
        <f t="shared" si="3"/>
        <v>34.6</v>
      </c>
      <c r="U13" s="209"/>
    </row>
    <row r="14" spans="1:22" s="102" customFormat="1" ht="25.5" x14ac:dyDescent="0.2">
      <c r="A14" s="13" t="s">
        <v>733</v>
      </c>
      <c r="B14" s="12"/>
      <c r="C14" s="49" t="s">
        <v>78</v>
      </c>
      <c r="D14" s="64" t="s">
        <v>21</v>
      </c>
      <c r="E14" s="208">
        <f t="shared" si="0"/>
        <v>14.5</v>
      </c>
      <c r="F14" s="77">
        <f t="shared" si="2"/>
        <v>3.9</v>
      </c>
      <c r="G14" s="210">
        <v>0.2</v>
      </c>
      <c r="H14" s="210">
        <v>0.1</v>
      </c>
      <c r="I14" s="210"/>
      <c r="J14" s="210"/>
      <c r="K14" s="13">
        <f>12.3+2</f>
        <v>14.3</v>
      </c>
      <c r="L14" s="22">
        <f t="shared" ref="L14:L48" si="4">+M14+O14</f>
        <v>2</v>
      </c>
      <c r="M14" s="3"/>
      <c r="N14" s="3"/>
      <c r="O14" s="3">
        <v>2</v>
      </c>
      <c r="P14" s="233">
        <v>3.8</v>
      </c>
    </row>
    <row r="15" spans="1:22" s="102" customFormat="1" ht="25.5" x14ac:dyDescent="0.2">
      <c r="A15" s="13" t="s">
        <v>734</v>
      </c>
      <c r="B15" s="12"/>
      <c r="C15" s="40" t="s">
        <v>80</v>
      </c>
      <c r="D15" s="64" t="s">
        <v>21</v>
      </c>
      <c r="E15" s="208">
        <f t="shared" si="0"/>
        <v>15</v>
      </c>
      <c r="F15" s="77">
        <f t="shared" si="2"/>
        <v>7.3</v>
      </c>
      <c r="G15" s="210">
        <v>0.2</v>
      </c>
      <c r="H15" s="210">
        <v>0.1</v>
      </c>
      <c r="I15" s="210"/>
      <c r="J15" s="210"/>
      <c r="K15" s="13">
        <f>12.3+2.5</f>
        <v>14.8</v>
      </c>
      <c r="L15" s="22">
        <f t="shared" si="4"/>
        <v>2.5</v>
      </c>
      <c r="M15" s="3"/>
      <c r="N15" s="3"/>
      <c r="O15" s="3">
        <v>2.5</v>
      </c>
      <c r="P15" s="233">
        <v>7.2</v>
      </c>
    </row>
    <row r="16" spans="1:22" s="102" customFormat="1" ht="27.6" customHeight="1" x14ac:dyDescent="0.2">
      <c r="A16" s="13" t="s">
        <v>735</v>
      </c>
      <c r="B16" s="12"/>
      <c r="C16" s="145" t="s">
        <v>74</v>
      </c>
      <c r="D16" s="16" t="s">
        <v>38</v>
      </c>
      <c r="E16" s="211">
        <f t="shared" si="0"/>
        <v>28</v>
      </c>
      <c r="F16" s="77">
        <f t="shared" si="2"/>
        <v>24.400000000000002</v>
      </c>
      <c r="G16" s="211">
        <f>0.5+0.5</f>
        <v>1</v>
      </c>
      <c r="H16" s="211">
        <v>0.8</v>
      </c>
      <c r="I16" s="20"/>
      <c r="J16" s="20"/>
      <c r="K16" s="20">
        <f>42.5-15-0.5</f>
        <v>27</v>
      </c>
      <c r="L16" s="22">
        <f t="shared" si="4"/>
        <v>-15</v>
      </c>
      <c r="M16" s="3">
        <v>0.5</v>
      </c>
      <c r="N16" s="3"/>
      <c r="O16" s="3">
        <f>-15-0.5</f>
        <v>-15.5</v>
      </c>
      <c r="P16" s="233">
        <v>23.6</v>
      </c>
    </row>
    <row r="17" spans="1:16" s="102" customFormat="1" x14ac:dyDescent="0.2">
      <c r="A17" s="13">
        <v>3</v>
      </c>
      <c r="B17" s="11" t="s">
        <v>94</v>
      </c>
      <c r="C17" s="51" t="s">
        <v>95</v>
      </c>
      <c r="D17" s="16"/>
      <c r="E17" s="212">
        <f t="shared" si="0"/>
        <v>51.5</v>
      </c>
      <c r="F17" s="126">
        <f t="shared" si="2"/>
        <v>45.4</v>
      </c>
      <c r="G17" s="212">
        <f t="shared" ref="G17:P17" si="5">+G18+G20</f>
        <v>45.6</v>
      </c>
      <c r="H17" s="212">
        <f t="shared" si="5"/>
        <v>45.4</v>
      </c>
      <c r="I17" s="212">
        <f t="shared" si="5"/>
        <v>3.9</v>
      </c>
      <c r="J17" s="212">
        <f t="shared" si="5"/>
        <v>3.9</v>
      </c>
      <c r="K17" s="212">
        <f t="shared" si="5"/>
        <v>5.9</v>
      </c>
      <c r="L17" s="212">
        <f t="shared" si="5"/>
        <v>0</v>
      </c>
      <c r="M17" s="212">
        <f t="shared" si="5"/>
        <v>0</v>
      </c>
      <c r="N17" s="212">
        <f t="shared" si="5"/>
        <v>0</v>
      </c>
      <c r="O17" s="212">
        <f t="shared" si="5"/>
        <v>0</v>
      </c>
      <c r="P17" s="213">
        <f t="shared" si="5"/>
        <v>0</v>
      </c>
    </row>
    <row r="18" spans="1:16" s="102" customFormat="1" x14ac:dyDescent="0.2">
      <c r="A18" s="13">
        <v>4</v>
      </c>
      <c r="B18" s="11"/>
      <c r="C18" s="138" t="s">
        <v>534</v>
      </c>
      <c r="D18" s="16"/>
      <c r="E18" s="211">
        <f t="shared" si="0"/>
        <v>6</v>
      </c>
      <c r="F18" s="77">
        <f t="shared" si="2"/>
        <v>0</v>
      </c>
      <c r="G18" s="211">
        <f>+G19</f>
        <v>0.1</v>
      </c>
      <c r="H18" s="211"/>
      <c r="I18" s="211">
        <f>+I19</f>
        <v>0</v>
      </c>
      <c r="J18" s="211"/>
      <c r="K18" s="211">
        <f t="shared" ref="K18:P18" si="6">+K19</f>
        <v>5.9</v>
      </c>
      <c r="L18" s="211">
        <f t="shared" si="6"/>
        <v>0</v>
      </c>
      <c r="M18" s="211">
        <f t="shared" si="6"/>
        <v>0</v>
      </c>
      <c r="N18" s="211">
        <f t="shared" si="6"/>
        <v>0</v>
      </c>
      <c r="O18" s="211">
        <f t="shared" si="6"/>
        <v>0</v>
      </c>
      <c r="P18" s="214">
        <f t="shared" si="6"/>
        <v>0</v>
      </c>
    </row>
    <row r="19" spans="1:16" s="102" customFormat="1" ht="36.75" customHeight="1" x14ac:dyDescent="0.2">
      <c r="A19" s="13" t="s">
        <v>736</v>
      </c>
      <c r="B19" s="11"/>
      <c r="C19" s="145" t="s">
        <v>140</v>
      </c>
      <c r="D19" s="16" t="s">
        <v>130</v>
      </c>
      <c r="E19" s="211">
        <f t="shared" si="0"/>
        <v>6</v>
      </c>
      <c r="F19" s="77">
        <f t="shared" si="2"/>
        <v>0</v>
      </c>
      <c r="G19" s="211">
        <v>0.1</v>
      </c>
      <c r="H19" s="214">
        <v>0</v>
      </c>
      <c r="I19" s="20"/>
      <c r="J19" s="20"/>
      <c r="K19" s="20">
        <f>3.9+2</f>
        <v>5.9</v>
      </c>
      <c r="L19" s="22">
        <f t="shared" si="4"/>
        <v>0</v>
      </c>
      <c r="M19" s="3"/>
      <c r="N19" s="3"/>
      <c r="O19" s="3"/>
      <c r="P19" s="146">
        <v>0</v>
      </c>
    </row>
    <row r="20" spans="1:16" s="102" customFormat="1" ht="27" customHeight="1" x14ac:dyDescent="0.2">
      <c r="A20" s="260">
        <v>5</v>
      </c>
      <c r="B20" s="272"/>
      <c r="C20" s="27" t="s">
        <v>96</v>
      </c>
      <c r="D20" s="262" t="s">
        <v>99</v>
      </c>
      <c r="E20" s="211">
        <f t="shared" si="0"/>
        <v>45.5</v>
      </c>
      <c r="F20" s="77">
        <f t="shared" si="2"/>
        <v>45.4</v>
      </c>
      <c r="G20" s="211">
        <f>+G21+G22</f>
        <v>45.5</v>
      </c>
      <c r="H20" s="211">
        <f>+H21+H22</f>
        <v>45.4</v>
      </c>
      <c r="I20" s="211">
        <f>+I21+I22</f>
        <v>3.9</v>
      </c>
      <c r="J20" s="211">
        <f>+J21+J22</f>
        <v>3.9</v>
      </c>
      <c r="K20" s="211">
        <f>+K21+K22</f>
        <v>0</v>
      </c>
      <c r="L20" s="22">
        <f t="shared" si="4"/>
        <v>0</v>
      </c>
      <c r="M20" s="3"/>
      <c r="N20" s="3"/>
      <c r="O20" s="3"/>
      <c r="P20" s="76"/>
    </row>
    <row r="21" spans="1:16" s="102" customFormat="1" ht="27.75" customHeight="1" x14ac:dyDescent="0.2">
      <c r="A21" s="271"/>
      <c r="B21" s="273"/>
      <c r="C21" s="54" t="s">
        <v>98</v>
      </c>
      <c r="D21" s="283"/>
      <c r="E21" s="211">
        <f t="shared" si="0"/>
        <v>3.8</v>
      </c>
      <c r="F21" s="77">
        <f t="shared" si="2"/>
        <v>3.8</v>
      </c>
      <c r="G21" s="211">
        <v>3.8</v>
      </c>
      <c r="H21" s="211">
        <v>3.8</v>
      </c>
      <c r="I21" s="20">
        <v>0.4</v>
      </c>
      <c r="J21" s="20">
        <v>0.4</v>
      </c>
      <c r="K21" s="20"/>
      <c r="L21" s="22">
        <f t="shared" si="4"/>
        <v>3.8</v>
      </c>
      <c r="M21" s="3">
        <v>3.8</v>
      </c>
      <c r="N21" s="3">
        <v>0.4</v>
      </c>
      <c r="O21" s="3"/>
      <c r="P21" s="76"/>
    </row>
    <row r="22" spans="1:16" s="102" customFormat="1" ht="25.5" customHeight="1" x14ac:dyDescent="0.2">
      <c r="A22" s="261"/>
      <c r="B22" s="274"/>
      <c r="C22" s="54" t="s">
        <v>100</v>
      </c>
      <c r="D22" s="263"/>
      <c r="E22" s="211">
        <f t="shared" si="0"/>
        <v>41.7</v>
      </c>
      <c r="F22" s="77">
        <f t="shared" si="2"/>
        <v>41.6</v>
      </c>
      <c r="G22" s="211">
        <v>41.7</v>
      </c>
      <c r="H22" s="211">
        <v>41.6</v>
      </c>
      <c r="I22" s="20">
        <v>3.5</v>
      </c>
      <c r="J22" s="20">
        <v>3.5</v>
      </c>
      <c r="K22" s="20"/>
      <c r="L22" s="22">
        <f t="shared" si="4"/>
        <v>41.7</v>
      </c>
      <c r="M22" s="3">
        <v>41.7</v>
      </c>
      <c r="N22" s="3">
        <v>3.5</v>
      </c>
      <c r="O22" s="3"/>
      <c r="P22" s="76"/>
    </row>
    <row r="23" spans="1:16" s="102" customFormat="1" x14ac:dyDescent="0.2">
      <c r="A23" s="13">
        <v>6</v>
      </c>
      <c r="B23" s="11" t="s">
        <v>203</v>
      </c>
      <c r="C23" s="51" t="s">
        <v>204</v>
      </c>
      <c r="D23" s="16"/>
      <c r="E23" s="212">
        <f t="shared" si="0"/>
        <v>21.3</v>
      </c>
      <c r="F23" s="126">
        <f t="shared" si="2"/>
        <v>21.1</v>
      </c>
      <c r="G23" s="126">
        <f t="shared" si="2"/>
        <v>0</v>
      </c>
      <c r="H23" s="126">
        <f>+J23+R23</f>
        <v>0</v>
      </c>
      <c r="I23" s="215">
        <f t="shared" ref="I23:P24" si="7">+I24</f>
        <v>0</v>
      </c>
      <c r="J23" s="215">
        <f>+J24</f>
        <v>0</v>
      </c>
      <c r="K23" s="212">
        <f t="shared" si="7"/>
        <v>21.3</v>
      </c>
      <c r="L23" s="212">
        <f t="shared" si="7"/>
        <v>0</v>
      </c>
      <c r="M23" s="212">
        <f t="shared" si="7"/>
        <v>0</v>
      </c>
      <c r="N23" s="212">
        <f t="shared" si="7"/>
        <v>0</v>
      </c>
      <c r="O23" s="212">
        <f t="shared" si="7"/>
        <v>0</v>
      </c>
      <c r="P23" s="212">
        <f t="shared" si="7"/>
        <v>21.1</v>
      </c>
    </row>
    <row r="24" spans="1:16" s="102" customFormat="1" x14ac:dyDescent="0.2">
      <c r="A24" s="13">
        <v>7</v>
      </c>
      <c r="B24" s="11"/>
      <c r="C24" s="138" t="s">
        <v>534</v>
      </c>
      <c r="D24" s="16"/>
      <c r="E24" s="211">
        <f t="shared" si="0"/>
        <v>21.3</v>
      </c>
      <c r="F24" s="77">
        <f t="shared" si="2"/>
        <v>21.1</v>
      </c>
      <c r="G24" s="77">
        <f t="shared" si="2"/>
        <v>0</v>
      </c>
      <c r="H24" s="211"/>
      <c r="I24" s="211">
        <f t="shared" si="7"/>
        <v>0</v>
      </c>
      <c r="J24" s="211"/>
      <c r="K24" s="211">
        <f t="shared" si="7"/>
        <v>21.3</v>
      </c>
      <c r="L24" s="211">
        <f t="shared" si="7"/>
        <v>0</v>
      </c>
      <c r="M24" s="211">
        <f t="shared" si="7"/>
        <v>0</v>
      </c>
      <c r="N24" s="211">
        <f t="shared" si="7"/>
        <v>0</v>
      </c>
      <c r="O24" s="211">
        <f t="shared" si="7"/>
        <v>0</v>
      </c>
      <c r="P24" s="211">
        <f t="shared" si="7"/>
        <v>21.1</v>
      </c>
    </row>
    <row r="25" spans="1:16" s="102" customFormat="1" ht="40.9" customHeight="1" x14ac:dyDescent="0.2">
      <c r="A25" s="13" t="s">
        <v>737</v>
      </c>
      <c r="B25" s="11"/>
      <c r="C25" s="27" t="s">
        <v>555</v>
      </c>
      <c r="D25" s="16" t="s">
        <v>222</v>
      </c>
      <c r="E25" s="211">
        <f t="shared" si="0"/>
        <v>21.3</v>
      </c>
      <c r="F25" s="77">
        <f t="shared" si="2"/>
        <v>21.1</v>
      </c>
      <c r="G25" s="211"/>
      <c r="H25" s="211"/>
      <c r="I25" s="20"/>
      <c r="J25" s="20"/>
      <c r="K25" s="20">
        <v>21.3</v>
      </c>
      <c r="L25" s="22">
        <f t="shared" si="4"/>
        <v>0</v>
      </c>
      <c r="M25" s="3"/>
      <c r="N25" s="3"/>
      <c r="O25" s="3"/>
      <c r="P25" s="76">
        <v>21.1</v>
      </c>
    </row>
    <row r="26" spans="1:16" s="102" customFormat="1" x14ac:dyDescent="0.2">
      <c r="A26" s="13">
        <v>8</v>
      </c>
      <c r="B26" s="11" t="s">
        <v>226</v>
      </c>
      <c r="C26" s="51" t="s">
        <v>227</v>
      </c>
      <c r="D26" s="16"/>
      <c r="E26" s="212">
        <f t="shared" si="0"/>
        <v>6.3000000000000007</v>
      </c>
      <c r="F26" s="126">
        <f t="shared" si="2"/>
        <v>0.7</v>
      </c>
      <c r="G26" s="212">
        <f>+G27</f>
        <v>0.30000000000000004</v>
      </c>
      <c r="H26" s="213">
        <f>+H27</f>
        <v>0</v>
      </c>
      <c r="I26" s="215">
        <f>+I27</f>
        <v>0</v>
      </c>
      <c r="J26" s="215">
        <f>+J27</f>
        <v>0</v>
      </c>
      <c r="K26" s="212">
        <f t="shared" ref="K26:P26" si="8">+K27</f>
        <v>6.0000000000000009</v>
      </c>
      <c r="L26" s="212">
        <f t="shared" si="8"/>
        <v>-28.1</v>
      </c>
      <c r="M26" s="212">
        <f t="shared" si="8"/>
        <v>-0.1</v>
      </c>
      <c r="N26" s="212">
        <f t="shared" si="8"/>
        <v>0</v>
      </c>
      <c r="O26" s="212">
        <f t="shared" si="8"/>
        <v>-28</v>
      </c>
      <c r="P26" s="212">
        <f t="shared" si="8"/>
        <v>0.7</v>
      </c>
    </row>
    <row r="27" spans="1:16" s="102" customFormat="1" x14ac:dyDescent="0.2">
      <c r="A27" s="13">
        <v>9</v>
      </c>
      <c r="B27" s="12"/>
      <c r="C27" s="138" t="s">
        <v>534</v>
      </c>
      <c r="D27" s="16"/>
      <c r="E27" s="211">
        <f t="shared" si="0"/>
        <v>6.3000000000000007</v>
      </c>
      <c r="F27" s="77">
        <f t="shared" si="2"/>
        <v>0.7</v>
      </c>
      <c r="G27" s="211">
        <f>+G28+G29+G30</f>
        <v>0.30000000000000004</v>
      </c>
      <c r="H27" s="214">
        <f>+H28+H29+H30</f>
        <v>0</v>
      </c>
      <c r="I27" s="211">
        <f>+I28+I29+I30</f>
        <v>0</v>
      </c>
      <c r="J27" s="211"/>
      <c r="K27" s="211">
        <f t="shared" ref="K27:P27" si="9">+K28+K29+K30</f>
        <v>6.0000000000000009</v>
      </c>
      <c r="L27" s="211">
        <f t="shared" si="9"/>
        <v>-28.1</v>
      </c>
      <c r="M27" s="211">
        <f t="shared" si="9"/>
        <v>-0.1</v>
      </c>
      <c r="N27" s="211">
        <f t="shared" si="9"/>
        <v>0</v>
      </c>
      <c r="O27" s="211">
        <f t="shared" si="9"/>
        <v>-28</v>
      </c>
      <c r="P27" s="211">
        <f t="shared" si="9"/>
        <v>0.7</v>
      </c>
    </row>
    <row r="28" spans="1:16" s="102" customFormat="1" ht="25.5" x14ac:dyDescent="0.2">
      <c r="A28" s="13" t="s">
        <v>738</v>
      </c>
      <c r="B28" s="12"/>
      <c r="C28" s="138" t="s">
        <v>258</v>
      </c>
      <c r="D28" s="26" t="s">
        <v>229</v>
      </c>
      <c r="E28" s="211">
        <f t="shared" si="0"/>
        <v>2</v>
      </c>
      <c r="F28" s="77">
        <f t="shared" si="2"/>
        <v>0.7</v>
      </c>
      <c r="G28" s="211">
        <f>0.1-0.1</f>
        <v>0</v>
      </c>
      <c r="H28" s="211"/>
      <c r="I28" s="20"/>
      <c r="J28" s="20"/>
      <c r="K28" s="20">
        <f>20-18</f>
        <v>2</v>
      </c>
      <c r="L28" s="22">
        <f t="shared" si="4"/>
        <v>-18.100000000000001</v>
      </c>
      <c r="M28" s="3">
        <v>-0.1</v>
      </c>
      <c r="N28" s="3"/>
      <c r="O28" s="3">
        <v>-18</v>
      </c>
      <c r="P28" s="233">
        <v>0.7</v>
      </c>
    </row>
    <row r="29" spans="1:16" s="102" customFormat="1" ht="38.25" x14ac:dyDescent="0.2">
      <c r="A29" s="13" t="s">
        <v>739</v>
      </c>
      <c r="B29" s="12"/>
      <c r="C29" s="138" t="s">
        <v>260</v>
      </c>
      <c r="D29" s="26" t="s">
        <v>229</v>
      </c>
      <c r="E29" s="211">
        <f t="shared" si="0"/>
        <v>2.0000000000000009</v>
      </c>
      <c r="F29" s="77">
        <f t="shared" si="2"/>
        <v>0</v>
      </c>
      <c r="G29" s="211">
        <f>0.2</f>
        <v>0.2</v>
      </c>
      <c r="H29" s="214">
        <v>0</v>
      </c>
      <c r="I29" s="20"/>
      <c r="J29" s="20"/>
      <c r="K29" s="20">
        <f>11.8-10</f>
        <v>1.8000000000000007</v>
      </c>
      <c r="L29" s="22">
        <f t="shared" si="4"/>
        <v>-10</v>
      </c>
      <c r="M29" s="3"/>
      <c r="N29" s="3"/>
      <c r="O29" s="3">
        <v>-10</v>
      </c>
      <c r="P29" s="146">
        <v>0</v>
      </c>
    </row>
    <row r="30" spans="1:16" s="102" customFormat="1" ht="42.6" customHeight="1" x14ac:dyDescent="0.2">
      <c r="A30" s="13" t="s">
        <v>740</v>
      </c>
      <c r="B30" s="12"/>
      <c r="C30" s="40" t="s">
        <v>262</v>
      </c>
      <c r="D30" s="18" t="s">
        <v>229</v>
      </c>
      <c r="E30" s="211">
        <f t="shared" si="0"/>
        <v>2.3000000000000003</v>
      </c>
      <c r="F30" s="77">
        <f t="shared" si="2"/>
        <v>0</v>
      </c>
      <c r="G30" s="211">
        <v>0.1</v>
      </c>
      <c r="H30" s="214">
        <v>0</v>
      </c>
      <c r="I30" s="20"/>
      <c r="J30" s="20"/>
      <c r="K30" s="20">
        <v>2.2000000000000002</v>
      </c>
      <c r="L30" s="22">
        <f t="shared" si="4"/>
        <v>0</v>
      </c>
      <c r="M30" s="3"/>
      <c r="N30" s="3"/>
      <c r="O30" s="3"/>
      <c r="P30" s="146">
        <v>0</v>
      </c>
    </row>
    <row r="31" spans="1:16" ht="25.5" x14ac:dyDescent="0.2">
      <c r="A31" s="13">
        <v>10</v>
      </c>
      <c r="B31" s="11" t="s">
        <v>264</v>
      </c>
      <c r="C31" s="73" t="s">
        <v>265</v>
      </c>
      <c r="D31" s="16"/>
      <c r="E31" s="126">
        <f t="shared" si="0"/>
        <v>375.7</v>
      </c>
      <c r="F31" s="126">
        <f t="shared" si="2"/>
        <v>271.10000000000002</v>
      </c>
      <c r="G31" s="126">
        <f t="shared" ref="G31:P31" si="10">+G32</f>
        <v>3.9</v>
      </c>
      <c r="H31" s="126">
        <f t="shared" si="10"/>
        <v>2.5</v>
      </c>
      <c r="I31" s="126">
        <f t="shared" si="10"/>
        <v>0</v>
      </c>
      <c r="J31" s="126">
        <f t="shared" si="10"/>
        <v>0</v>
      </c>
      <c r="K31" s="126">
        <f t="shared" si="10"/>
        <v>371.8</v>
      </c>
      <c r="L31" s="126">
        <f t="shared" si="10"/>
        <v>0</v>
      </c>
      <c r="M31" s="126">
        <f t="shared" si="10"/>
        <v>0</v>
      </c>
      <c r="N31" s="126">
        <f t="shared" si="10"/>
        <v>0</v>
      </c>
      <c r="O31" s="126">
        <f t="shared" si="10"/>
        <v>0</v>
      </c>
      <c r="P31" s="126">
        <f t="shared" si="10"/>
        <v>268.60000000000002</v>
      </c>
    </row>
    <row r="32" spans="1:16" ht="14.45" customHeight="1" x14ac:dyDescent="0.2">
      <c r="A32" s="13">
        <v>11</v>
      </c>
      <c r="B32" s="11"/>
      <c r="C32" s="138" t="s">
        <v>534</v>
      </c>
      <c r="D32" s="16"/>
      <c r="E32" s="77">
        <f t="shared" si="0"/>
        <v>375.7</v>
      </c>
      <c r="F32" s="77">
        <f t="shared" si="2"/>
        <v>271.10000000000002</v>
      </c>
      <c r="G32" s="77">
        <f t="shared" ref="G32:P32" si="11">+G33+G35+G37</f>
        <v>3.9</v>
      </c>
      <c r="H32" s="77">
        <f t="shared" si="11"/>
        <v>2.5</v>
      </c>
      <c r="I32" s="77">
        <f t="shared" si="11"/>
        <v>0</v>
      </c>
      <c r="J32" s="77">
        <f t="shared" si="11"/>
        <v>0</v>
      </c>
      <c r="K32" s="77">
        <f t="shared" si="11"/>
        <v>371.8</v>
      </c>
      <c r="L32" s="77">
        <f t="shared" si="11"/>
        <v>0</v>
      </c>
      <c r="M32" s="77">
        <f t="shared" si="11"/>
        <v>0</v>
      </c>
      <c r="N32" s="77">
        <f t="shared" si="11"/>
        <v>0</v>
      </c>
      <c r="O32" s="77">
        <f t="shared" si="11"/>
        <v>0</v>
      </c>
      <c r="P32" s="77">
        <f t="shared" si="11"/>
        <v>268.60000000000002</v>
      </c>
    </row>
    <row r="33" spans="1:17" ht="43.15" customHeight="1" x14ac:dyDescent="0.2">
      <c r="A33" s="291" t="s">
        <v>553</v>
      </c>
      <c r="B33" s="272"/>
      <c r="C33" s="27" t="s">
        <v>311</v>
      </c>
      <c r="D33" s="262" t="s">
        <v>268</v>
      </c>
      <c r="E33" s="77">
        <f t="shared" si="0"/>
        <v>153.6</v>
      </c>
      <c r="F33" s="77">
        <f t="shared" si="2"/>
        <v>85.8</v>
      </c>
      <c r="G33" s="77">
        <f>1+0.4</f>
        <v>1.4</v>
      </c>
      <c r="H33" s="77">
        <f>0.6+0.7</f>
        <v>1.2999999999999998</v>
      </c>
      <c r="I33" s="77"/>
      <c r="J33" s="77"/>
      <c r="K33" s="77">
        <f>152.6-0.4</f>
        <v>152.19999999999999</v>
      </c>
      <c r="L33" s="22">
        <f t="shared" si="4"/>
        <v>0</v>
      </c>
      <c r="P33" s="28">
        <f>42+42.5</f>
        <v>84.5</v>
      </c>
    </row>
    <row r="34" spans="1:17" ht="25.5" customHeight="1" x14ac:dyDescent="0.2">
      <c r="A34" s="292"/>
      <c r="B34" s="274"/>
      <c r="C34" s="60" t="s">
        <v>741</v>
      </c>
      <c r="D34" s="263"/>
      <c r="E34" s="77">
        <f t="shared" si="0"/>
        <v>76.8</v>
      </c>
      <c r="F34" s="77">
        <f t="shared" si="2"/>
        <v>42.6</v>
      </c>
      <c r="G34" s="77">
        <f>0.5+0.2</f>
        <v>0.7</v>
      </c>
      <c r="H34" s="77">
        <v>0.7</v>
      </c>
      <c r="I34" s="77"/>
      <c r="J34" s="77"/>
      <c r="K34" s="77">
        <f>76.3-0.2</f>
        <v>76.099999999999994</v>
      </c>
      <c r="L34" s="22">
        <f t="shared" si="4"/>
        <v>0</v>
      </c>
      <c r="M34" s="216"/>
      <c r="P34" s="233">
        <v>41.9</v>
      </c>
      <c r="Q34" s="102"/>
    </row>
    <row r="35" spans="1:17" ht="55.5" customHeight="1" x14ac:dyDescent="0.2">
      <c r="A35" s="262" t="s">
        <v>554</v>
      </c>
      <c r="B35" s="169"/>
      <c r="C35" s="27" t="s">
        <v>742</v>
      </c>
      <c r="D35" s="262" t="s">
        <v>268</v>
      </c>
      <c r="E35" s="77">
        <f t="shared" si="0"/>
        <v>179.4</v>
      </c>
      <c r="F35" s="77">
        <f>+H35+P35</f>
        <v>149.6</v>
      </c>
      <c r="G35" s="20">
        <f>1+1</f>
        <v>2</v>
      </c>
      <c r="H35" s="20">
        <f>0.1+0.9</f>
        <v>1</v>
      </c>
      <c r="I35" s="20"/>
      <c r="J35" s="20"/>
      <c r="K35" s="20">
        <f>178.4-1</f>
        <v>177.4</v>
      </c>
      <c r="L35" s="22">
        <f t="shared" si="4"/>
        <v>0</v>
      </c>
      <c r="P35" s="28">
        <f>91.1+57.5</f>
        <v>148.6</v>
      </c>
    </row>
    <row r="36" spans="1:17" x14ac:dyDescent="0.2">
      <c r="A36" s="263"/>
      <c r="B36" s="169"/>
      <c r="C36" s="60" t="s">
        <v>741</v>
      </c>
      <c r="D36" s="263"/>
      <c r="E36" s="77">
        <f t="shared" si="0"/>
        <v>92.1</v>
      </c>
      <c r="F36" s="77">
        <f t="shared" si="2"/>
        <v>92</v>
      </c>
      <c r="G36" s="20">
        <f>0.5+0.5</f>
        <v>1</v>
      </c>
      <c r="H36" s="20">
        <v>0.9</v>
      </c>
      <c r="I36" s="20"/>
      <c r="J36" s="20"/>
      <c r="K36" s="20">
        <f>91.6-0.5</f>
        <v>91.1</v>
      </c>
      <c r="L36" s="22">
        <f t="shared" si="4"/>
        <v>0</v>
      </c>
      <c r="M36" s="47"/>
      <c r="N36" s="47"/>
      <c r="O36" s="47"/>
      <c r="P36" s="233">
        <v>91.1</v>
      </c>
      <c r="Q36" s="102"/>
    </row>
    <row r="37" spans="1:17" ht="25.5" x14ac:dyDescent="0.2">
      <c r="A37" s="71" t="s">
        <v>631</v>
      </c>
      <c r="B37" s="169"/>
      <c r="C37" s="27" t="s">
        <v>315</v>
      </c>
      <c r="D37" s="16" t="s">
        <v>285</v>
      </c>
      <c r="E37" s="77">
        <f t="shared" si="0"/>
        <v>42.7</v>
      </c>
      <c r="F37" s="77">
        <f t="shared" si="2"/>
        <v>35.700000000000003</v>
      </c>
      <c r="G37" s="20">
        <v>0.5</v>
      </c>
      <c r="H37" s="20">
        <v>0.2</v>
      </c>
      <c r="I37" s="20"/>
      <c r="J37" s="20"/>
      <c r="K37" s="20">
        <v>42.2</v>
      </c>
      <c r="L37" s="22">
        <f t="shared" si="4"/>
        <v>0</v>
      </c>
      <c r="P37" s="233">
        <v>35.5</v>
      </c>
    </row>
    <row r="38" spans="1:17" x14ac:dyDescent="0.2">
      <c r="A38" s="71" t="s">
        <v>743</v>
      </c>
      <c r="B38" s="11" t="s">
        <v>326</v>
      </c>
      <c r="C38" s="79" t="s">
        <v>327</v>
      </c>
      <c r="D38" s="16"/>
      <c r="E38" s="52">
        <f t="shared" si="0"/>
        <v>411.09999999999997</v>
      </c>
      <c r="F38" s="126">
        <f t="shared" si="2"/>
        <v>298.10000000000002</v>
      </c>
      <c r="G38" s="52">
        <f>+G39</f>
        <v>5.2</v>
      </c>
      <c r="H38" s="52">
        <f>+H39</f>
        <v>1.8</v>
      </c>
      <c r="I38" s="217">
        <f>+I39</f>
        <v>0</v>
      </c>
      <c r="J38" s="217">
        <f>+J39</f>
        <v>0</v>
      </c>
      <c r="K38" s="52">
        <f t="shared" ref="K38:P38" si="12">+K39</f>
        <v>405.9</v>
      </c>
      <c r="L38" s="52">
        <f t="shared" si="12"/>
        <v>-23.1</v>
      </c>
      <c r="M38" s="52">
        <f t="shared" si="12"/>
        <v>0</v>
      </c>
      <c r="N38" s="52">
        <f t="shared" si="12"/>
        <v>0</v>
      </c>
      <c r="O38" s="52">
        <f t="shared" si="12"/>
        <v>-23.1</v>
      </c>
      <c r="P38" s="52">
        <f t="shared" si="12"/>
        <v>296.3</v>
      </c>
    </row>
    <row r="39" spans="1:17" x14ac:dyDescent="0.2">
      <c r="A39" s="71" t="s">
        <v>744</v>
      </c>
      <c r="B39" s="169"/>
      <c r="C39" s="138" t="s">
        <v>534</v>
      </c>
      <c r="D39" s="16"/>
      <c r="E39" s="20">
        <f t="shared" si="0"/>
        <v>411.09999999999997</v>
      </c>
      <c r="F39" s="77">
        <f t="shared" si="2"/>
        <v>298.10000000000002</v>
      </c>
      <c r="G39" s="20">
        <f>+G40+G41+G43+G45+G47</f>
        <v>5.2</v>
      </c>
      <c r="H39" s="20">
        <f>+H40+H41+H43+H45+H47</f>
        <v>1.8</v>
      </c>
      <c r="I39" s="20">
        <f>+I40+I41+I43+I45+I47</f>
        <v>0</v>
      </c>
      <c r="J39" s="20"/>
      <c r="K39" s="20">
        <f t="shared" ref="K39:P39" si="13">+K40+K41+K43+K45+K47</f>
        <v>405.9</v>
      </c>
      <c r="L39" s="20">
        <f t="shared" si="13"/>
        <v>-23.1</v>
      </c>
      <c r="M39" s="20">
        <f t="shared" si="13"/>
        <v>0</v>
      </c>
      <c r="N39" s="20">
        <f t="shared" si="13"/>
        <v>0</v>
      </c>
      <c r="O39" s="20">
        <f t="shared" si="13"/>
        <v>-23.1</v>
      </c>
      <c r="P39" s="20">
        <f t="shared" si="13"/>
        <v>296.3</v>
      </c>
    </row>
    <row r="40" spans="1:17" ht="27.6" customHeight="1" x14ac:dyDescent="0.2">
      <c r="A40" s="71" t="s">
        <v>556</v>
      </c>
      <c r="B40" s="169"/>
      <c r="C40" s="138" t="s">
        <v>381</v>
      </c>
      <c r="D40" s="18" t="s">
        <v>303</v>
      </c>
      <c r="E40" s="20">
        <f t="shared" si="0"/>
        <v>28.400000000000002</v>
      </c>
      <c r="F40" s="77">
        <f t="shared" si="2"/>
        <v>15.5</v>
      </c>
      <c r="G40" s="20">
        <v>0.1</v>
      </c>
      <c r="H40" s="57">
        <v>0</v>
      </c>
      <c r="I40" s="20"/>
      <c r="J40" s="20"/>
      <c r="K40" s="20">
        <v>28.3</v>
      </c>
      <c r="L40" s="22">
        <f t="shared" si="4"/>
        <v>0</v>
      </c>
      <c r="P40" s="233">
        <f>2.8+3.9+2.1+1.9+4.8</f>
        <v>15.5</v>
      </c>
    </row>
    <row r="41" spans="1:17" ht="15.6" customHeight="1" x14ac:dyDescent="0.2">
      <c r="A41" s="262" t="s">
        <v>557</v>
      </c>
      <c r="B41" s="272"/>
      <c r="C41" s="27" t="s">
        <v>405</v>
      </c>
      <c r="D41" s="275" t="s">
        <v>406</v>
      </c>
      <c r="E41" s="20">
        <f t="shared" si="0"/>
        <v>17.999999999999996</v>
      </c>
      <c r="F41" s="77">
        <f t="shared" si="2"/>
        <v>3.8</v>
      </c>
      <c r="G41" s="20">
        <f>0.2+0.5</f>
        <v>0.7</v>
      </c>
      <c r="H41" s="57">
        <v>0</v>
      </c>
      <c r="I41" s="20"/>
      <c r="J41" s="20"/>
      <c r="K41" s="20">
        <f>26.8+7+21.6-11.1-27</f>
        <v>17.299999999999997</v>
      </c>
      <c r="L41" s="22">
        <f t="shared" si="4"/>
        <v>-38.1</v>
      </c>
      <c r="O41" s="22">
        <f>-11.1-27</f>
        <v>-38.1</v>
      </c>
      <c r="P41" s="233">
        <v>3.8</v>
      </c>
    </row>
    <row r="42" spans="1:17" ht="17.45" customHeight="1" x14ac:dyDescent="0.2">
      <c r="A42" s="263"/>
      <c r="B42" s="274"/>
      <c r="C42" s="60" t="s">
        <v>741</v>
      </c>
      <c r="D42" s="276"/>
      <c r="E42" s="20">
        <f t="shared" si="0"/>
        <v>11.000000000000002</v>
      </c>
      <c r="F42" s="77">
        <f t="shared" si="2"/>
        <v>0</v>
      </c>
      <c r="G42" s="20">
        <v>0.5</v>
      </c>
      <c r="H42" s="57">
        <v>0</v>
      </c>
      <c r="I42" s="20"/>
      <c r="J42" s="20"/>
      <c r="K42" s="20">
        <f>21.6-11.1</f>
        <v>10.500000000000002</v>
      </c>
      <c r="L42" s="22">
        <f t="shared" si="4"/>
        <v>0</v>
      </c>
      <c r="O42" s="22"/>
      <c r="P42" s="146">
        <v>0</v>
      </c>
    </row>
    <row r="43" spans="1:17" ht="16.149999999999999" customHeight="1" x14ac:dyDescent="0.2">
      <c r="A43" s="71" t="s">
        <v>558</v>
      </c>
      <c r="B43" s="218"/>
      <c r="C43" s="27" t="s">
        <v>408</v>
      </c>
      <c r="D43" s="275" t="s">
        <v>406</v>
      </c>
      <c r="E43" s="20">
        <f t="shared" si="0"/>
        <v>108</v>
      </c>
      <c r="F43" s="77">
        <f t="shared" si="2"/>
        <v>45.5</v>
      </c>
      <c r="G43" s="20">
        <v>2</v>
      </c>
      <c r="H43" s="57">
        <v>0</v>
      </c>
      <c r="I43" s="20"/>
      <c r="J43" s="20"/>
      <c r="K43" s="20">
        <f>91+15</f>
        <v>106</v>
      </c>
      <c r="L43" s="22">
        <f t="shared" si="4"/>
        <v>15</v>
      </c>
      <c r="O43" s="22">
        <v>15</v>
      </c>
      <c r="P43" s="233">
        <v>45.5</v>
      </c>
    </row>
    <row r="44" spans="1:17" ht="18" customHeight="1" x14ac:dyDescent="0.2">
      <c r="A44" s="262" t="s">
        <v>559</v>
      </c>
      <c r="B44" s="218"/>
      <c r="C44" s="60" t="s">
        <v>741</v>
      </c>
      <c r="D44" s="276"/>
      <c r="E44" s="20">
        <f t="shared" si="0"/>
        <v>36</v>
      </c>
      <c r="F44" s="77">
        <f t="shared" si="2"/>
        <v>0</v>
      </c>
      <c r="G44" s="20">
        <v>1</v>
      </c>
      <c r="H44" s="57">
        <v>0</v>
      </c>
      <c r="I44" s="20"/>
      <c r="J44" s="20"/>
      <c r="K44" s="20">
        <v>35</v>
      </c>
      <c r="L44" s="22">
        <f t="shared" si="4"/>
        <v>0</v>
      </c>
      <c r="O44" s="22"/>
      <c r="P44" s="146">
        <v>0</v>
      </c>
    </row>
    <row r="45" spans="1:17" ht="16.899999999999999" customHeight="1" x14ac:dyDescent="0.2">
      <c r="A45" s="263"/>
      <c r="B45" s="272"/>
      <c r="C45" s="27" t="s">
        <v>412</v>
      </c>
      <c r="D45" s="275" t="s">
        <v>406</v>
      </c>
      <c r="E45" s="20">
        <f t="shared" si="0"/>
        <v>123.5</v>
      </c>
      <c r="F45" s="77">
        <f t="shared" si="2"/>
        <v>121.10000000000001</v>
      </c>
      <c r="G45" s="20">
        <v>1.2</v>
      </c>
      <c r="H45" s="20">
        <v>0.9</v>
      </c>
      <c r="I45" s="20"/>
      <c r="J45" s="20"/>
      <c r="K45" s="20">
        <v>122.3</v>
      </c>
      <c r="L45" s="22">
        <f t="shared" si="4"/>
        <v>0</v>
      </c>
      <c r="P45" s="233">
        <v>120.2</v>
      </c>
    </row>
    <row r="46" spans="1:17" ht="16.899999999999999" customHeight="1" x14ac:dyDescent="0.2">
      <c r="A46" s="71" t="s">
        <v>745</v>
      </c>
      <c r="B46" s="274"/>
      <c r="C46" s="60" t="s">
        <v>741</v>
      </c>
      <c r="D46" s="276"/>
      <c r="E46" s="20">
        <f t="shared" si="0"/>
        <v>66.8</v>
      </c>
      <c r="F46" s="77">
        <f t="shared" si="2"/>
        <v>66.8</v>
      </c>
      <c r="G46" s="20">
        <v>0.6</v>
      </c>
      <c r="H46" s="20">
        <v>0.6</v>
      </c>
      <c r="I46" s="20"/>
      <c r="J46" s="20"/>
      <c r="K46" s="20">
        <v>66.2</v>
      </c>
      <c r="L46" s="22">
        <f t="shared" si="4"/>
        <v>0</v>
      </c>
      <c r="P46" s="233">
        <v>66.2</v>
      </c>
    </row>
    <row r="47" spans="1:17" ht="16.899999999999999" customHeight="1" x14ac:dyDescent="0.2">
      <c r="A47" s="262" t="s">
        <v>746</v>
      </c>
      <c r="B47" s="272"/>
      <c r="C47" s="27" t="s">
        <v>414</v>
      </c>
      <c r="D47" s="275" t="s">
        <v>406</v>
      </c>
      <c r="E47" s="20">
        <f t="shared" si="0"/>
        <v>133.19999999999999</v>
      </c>
      <c r="F47" s="77">
        <f t="shared" si="2"/>
        <v>112.2</v>
      </c>
      <c r="G47" s="20">
        <f>0.6+0.6</f>
        <v>1.2</v>
      </c>
      <c r="H47" s="20">
        <v>0.9</v>
      </c>
      <c r="I47" s="20"/>
      <c r="J47" s="20"/>
      <c r="K47" s="20">
        <f>60.4+71.6</f>
        <v>132</v>
      </c>
      <c r="L47" s="22">
        <f t="shared" si="4"/>
        <v>0</v>
      </c>
      <c r="P47" s="233">
        <v>111.3</v>
      </c>
    </row>
    <row r="48" spans="1:17" ht="16.899999999999999" customHeight="1" x14ac:dyDescent="0.2">
      <c r="A48" s="263"/>
      <c r="B48" s="274"/>
      <c r="C48" s="60" t="s">
        <v>741</v>
      </c>
      <c r="D48" s="276"/>
      <c r="E48" s="20">
        <f t="shared" si="0"/>
        <v>72.199999999999989</v>
      </c>
      <c r="F48" s="77">
        <f t="shared" si="2"/>
        <v>66.5</v>
      </c>
      <c r="G48" s="20">
        <v>0.6</v>
      </c>
      <c r="H48" s="20">
        <v>0.6</v>
      </c>
      <c r="I48" s="20"/>
      <c r="J48" s="20"/>
      <c r="K48" s="20">
        <v>71.599999999999994</v>
      </c>
      <c r="L48" s="22">
        <f t="shared" si="4"/>
        <v>0</v>
      </c>
      <c r="P48" s="233">
        <v>65.900000000000006</v>
      </c>
    </row>
    <row r="49" spans="1:16" ht="16.899999999999999" customHeight="1" x14ac:dyDescent="0.2">
      <c r="A49" s="13">
        <v>14</v>
      </c>
      <c r="B49" s="11"/>
      <c r="C49" s="131" t="s">
        <v>491</v>
      </c>
      <c r="D49" s="16"/>
      <c r="E49" s="126">
        <f t="shared" si="0"/>
        <v>923.4</v>
      </c>
      <c r="F49" s="126">
        <f t="shared" si="2"/>
        <v>672</v>
      </c>
      <c r="G49" s="126">
        <f t="shared" ref="G49:P49" si="14">+G12+G17+G23+G26+G31+G38</f>
        <v>56.4</v>
      </c>
      <c r="H49" s="126">
        <f t="shared" si="14"/>
        <v>50.699999999999996</v>
      </c>
      <c r="I49" s="126">
        <f t="shared" si="14"/>
        <v>3.9</v>
      </c>
      <c r="J49" s="126">
        <f t="shared" si="14"/>
        <v>3.9</v>
      </c>
      <c r="K49" s="126">
        <f t="shared" si="14"/>
        <v>867</v>
      </c>
      <c r="L49" s="126">
        <f t="shared" si="14"/>
        <v>-61.7</v>
      </c>
      <c r="M49" s="126">
        <f t="shared" si="14"/>
        <v>0.4</v>
      </c>
      <c r="N49" s="126">
        <f t="shared" si="14"/>
        <v>0</v>
      </c>
      <c r="O49" s="126">
        <f t="shared" si="14"/>
        <v>-62.1</v>
      </c>
      <c r="P49" s="126">
        <f t="shared" si="14"/>
        <v>621.29999999999995</v>
      </c>
    </row>
    <row r="50" spans="1:16" x14ac:dyDescent="0.2">
      <c r="A50" s="95"/>
      <c r="C50" s="171" t="s">
        <v>707</v>
      </c>
      <c r="D50" s="5"/>
      <c r="E50" s="97"/>
      <c r="F50" s="97"/>
      <c r="G50" s="97"/>
      <c r="H50" s="97"/>
      <c r="I50" s="97"/>
      <c r="J50" s="97"/>
      <c r="K50" s="97"/>
    </row>
    <row r="51" spans="1:16" x14ac:dyDescent="0.2">
      <c r="C51" s="219"/>
      <c r="D51" s="5"/>
      <c r="E51" s="97"/>
      <c r="F51" s="97"/>
      <c r="G51" s="97"/>
      <c r="H51" s="97"/>
      <c r="I51" s="97"/>
      <c r="J51" s="97"/>
      <c r="K51" s="97"/>
    </row>
    <row r="52" spans="1:16" hidden="1" x14ac:dyDescent="0.2">
      <c r="C52" s="1"/>
      <c r="E52" s="97"/>
      <c r="F52" s="97"/>
      <c r="G52" s="97"/>
      <c r="H52" s="97"/>
      <c r="I52" s="97"/>
      <c r="J52" s="97"/>
      <c r="K52" s="97"/>
    </row>
    <row r="53" spans="1:16" hidden="1" x14ac:dyDescent="0.2">
      <c r="C53" s="1"/>
      <c r="E53" s="97"/>
      <c r="F53" s="97"/>
      <c r="G53" s="96"/>
      <c r="H53" s="96"/>
      <c r="I53" s="96"/>
      <c r="J53" s="96"/>
      <c r="K53" s="96"/>
    </row>
    <row r="54" spans="1:16" hidden="1" x14ac:dyDescent="0.2">
      <c r="E54" s="97"/>
      <c r="F54" s="97"/>
      <c r="G54" s="96"/>
      <c r="H54" s="96"/>
      <c r="I54" s="96"/>
      <c r="J54" s="96"/>
      <c r="K54" s="96"/>
    </row>
    <row r="55" spans="1:16" hidden="1" x14ac:dyDescent="0.2">
      <c r="C55" s="220"/>
      <c r="E55" s="97"/>
      <c r="F55" s="97"/>
      <c r="G55" s="96"/>
      <c r="H55" s="96"/>
      <c r="I55" s="96"/>
      <c r="J55" s="96"/>
      <c r="K55" s="96"/>
    </row>
    <row r="56" spans="1:16" hidden="1" x14ac:dyDescent="0.2">
      <c r="C56" s="220"/>
      <c r="E56" s="97"/>
      <c r="F56" s="97"/>
      <c r="G56" s="96"/>
      <c r="H56" s="96"/>
      <c r="I56" s="96"/>
      <c r="J56" s="96"/>
      <c r="K56" s="96"/>
    </row>
    <row r="57" spans="1:16" hidden="1" x14ac:dyDescent="0.2">
      <c r="E57" s="97"/>
      <c r="F57" s="97"/>
      <c r="G57" s="96"/>
      <c r="H57" s="96"/>
      <c r="I57" s="96"/>
      <c r="J57" s="96"/>
      <c r="K57" s="96"/>
    </row>
    <row r="58" spans="1:16" hidden="1" x14ac:dyDescent="0.2">
      <c r="E58" s="97"/>
      <c r="F58" s="97"/>
      <c r="G58" s="97"/>
      <c r="H58" s="97"/>
      <c r="I58" s="97"/>
      <c r="J58" s="97"/>
      <c r="K58" s="97"/>
    </row>
    <row r="59" spans="1:16" hidden="1" x14ac:dyDescent="0.2">
      <c r="E59" s="97">
        <f>+G59+K59</f>
        <v>939.6</v>
      </c>
      <c r="F59" s="97"/>
      <c r="G59" s="96">
        <v>10.5</v>
      </c>
      <c r="H59" s="96"/>
      <c r="I59" s="96">
        <v>0</v>
      </c>
      <c r="J59" s="96"/>
      <c r="K59" s="96">
        <v>929.1</v>
      </c>
    </row>
    <row r="60" spans="1:16" hidden="1" x14ac:dyDescent="0.2">
      <c r="E60" s="97">
        <f>+G60+K60</f>
        <v>-16.200000000000024</v>
      </c>
      <c r="F60" s="97"/>
      <c r="G60" s="96">
        <f>+G49-G59</f>
        <v>45.9</v>
      </c>
      <c r="H60" s="96"/>
      <c r="I60" s="96">
        <f>+I49-I59</f>
        <v>3.9</v>
      </c>
      <c r="J60" s="96"/>
      <c r="K60" s="96">
        <f>+K49-K59</f>
        <v>-62.100000000000023</v>
      </c>
    </row>
    <row r="61" spans="1:16" x14ac:dyDescent="0.2">
      <c r="E61" s="96"/>
      <c r="F61" s="97"/>
      <c r="G61" s="96"/>
      <c r="H61" s="96"/>
      <c r="I61" s="96"/>
      <c r="J61" s="96"/>
      <c r="K61" s="96"/>
    </row>
    <row r="62" spans="1:16" x14ac:dyDescent="0.2">
      <c r="E62" s="4"/>
      <c r="G62" s="4"/>
      <c r="H62" s="4"/>
      <c r="I62" s="4"/>
      <c r="J62" s="4"/>
      <c r="K62" s="4"/>
    </row>
    <row r="63" spans="1:16" x14ac:dyDescent="0.2">
      <c r="E63" s="96"/>
      <c r="F63" s="97"/>
      <c r="G63" s="96"/>
      <c r="H63" s="96"/>
      <c r="I63" s="96"/>
      <c r="J63" s="96"/>
      <c r="K63" s="96"/>
    </row>
    <row r="64" spans="1:16" x14ac:dyDescent="0.2">
      <c r="E64" s="96"/>
      <c r="F64" s="97"/>
      <c r="G64" s="4"/>
      <c r="H64" s="4"/>
      <c r="I64" s="4"/>
      <c r="J64" s="4"/>
      <c r="K64" s="4"/>
    </row>
    <row r="65" spans="5:11" x14ac:dyDescent="0.2">
      <c r="E65" s="96"/>
      <c r="F65" s="97"/>
      <c r="G65" s="4"/>
      <c r="H65" s="4"/>
      <c r="I65" s="4"/>
      <c r="J65" s="4"/>
      <c r="K65" s="4"/>
    </row>
  </sheetData>
  <mergeCells count="37">
    <mergeCell ref="A47:A48"/>
    <mergeCell ref="B47:B48"/>
    <mergeCell ref="D47:D48"/>
    <mergeCell ref="A35:A36"/>
    <mergeCell ref="D35:D36"/>
    <mergeCell ref="A41:A42"/>
    <mergeCell ref="B41:B42"/>
    <mergeCell ref="D41:D42"/>
    <mergeCell ref="D43:D44"/>
    <mergeCell ref="A44:A45"/>
    <mergeCell ref="B45:B46"/>
    <mergeCell ref="D45:D46"/>
    <mergeCell ref="A20:A22"/>
    <mergeCell ref="B20:B22"/>
    <mergeCell ref="D20:D22"/>
    <mergeCell ref="A33:A34"/>
    <mergeCell ref="B33:B34"/>
    <mergeCell ref="D33:D34"/>
    <mergeCell ref="G7:P7"/>
    <mergeCell ref="G8:J8"/>
    <mergeCell ref="K8:P8"/>
    <mergeCell ref="E9:E10"/>
    <mergeCell ref="F9:F10"/>
    <mergeCell ref="G9:H9"/>
    <mergeCell ref="I9:J9"/>
    <mergeCell ref="K9:K10"/>
    <mergeCell ref="P9:P10"/>
    <mergeCell ref="A5:K5"/>
    <mergeCell ref="J6:P6"/>
    <mergeCell ref="E3:P3"/>
    <mergeCell ref="C2:P2"/>
    <mergeCell ref="C1:P1"/>
    <mergeCell ref="A7:A10"/>
    <mergeCell ref="B7:B10"/>
    <mergeCell ref="C7:C10"/>
    <mergeCell ref="D7:D10"/>
    <mergeCell ref="E7:F8"/>
  </mergeCells>
  <pageMargins left="0.31496062992125984" right="0.31496062992125984" top="0.35433070866141736" bottom="0.15748031496062992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9</vt:i4>
      </vt:variant>
      <vt:variant>
        <vt:lpstr>Įvardytieji diapazonai</vt:lpstr>
      </vt:variant>
      <vt:variant>
        <vt:i4>11</vt:i4>
      </vt:variant>
    </vt:vector>
  </HeadingPairs>
  <TitlesOfParts>
    <vt:vector size="20" baseType="lpstr">
      <vt:lpstr>1 pr</vt:lpstr>
      <vt:lpstr>2 pr</vt:lpstr>
      <vt:lpstr>3 pr</vt:lpstr>
      <vt:lpstr>4 pr</vt:lpstr>
      <vt:lpstr>5 pr</vt:lpstr>
      <vt:lpstr>6 pr</vt:lpstr>
      <vt:lpstr>7 pr</vt:lpstr>
      <vt:lpstr>8 pr</vt:lpstr>
      <vt:lpstr>9 pr</vt:lpstr>
      <vt:lpstr>'1 pr'!Print_Area</vt:lpstr>
      <vt:lpstr>'5 pr'!Print_Area</vt:lpstr>
      <vt:lpstr>'1 pr'!Print_Titles</vt:lpstr>
      <vt:lpstr>'2 pr'!Print_Titles</vt:lpstr>
      <vt:lpstr>'3 pr'!Print_Titles</vt:lpstr>
      <vt:lpstr>'4 pr'!Print_Titles</vt:lpstr>
      <vt:lpstr>'5 pr'!Print_Titles</vt:lpstr>
      <vt:lpstr>'6 pr'!Print_Titles</vt:lpstr>
      <vt:lpstr>'7 pr'!Print_Titles</vt:lpstr>
      <vt:lpstr>'8 pr'!Print_Titles</vt:lpstr>
      <vt:lpstr>'9 pr'!Print_Titles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vartotoja</dc:creator>
  <cp:lastModifiedBy>Vartotojas</cp:lastModifiedBy>
  <cp:lastPrinted>2020-06-18T11:58:47Z</cp:lastPrinted>
  <dcterms:created xsi:type="dcterms:W3CDTF">2020-05-06T12:32:47Z</dcterms:created>
  <dcterms:modified xsi:type="dcterms:W3CDTF">2020-07-08T10:53:18Z</dcterms:modified>
</cp:coreProperties>
</file>